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TESIS\CANVAS\"/>
    </mc:Choice>
  </mc:AlternateContent>
  <bookViews>
    <workbookView xWindow="0" yWindow="0" windowWidth="20490" windowHeight="7650" firstSheet="1" activeTab="1"/>
  </bookViews>
  <sheets>
    <sheet name="PRESUPUESTO" sheetId="21" r:id="rId1"/>
    <sheet name="COSTO UNITARIO" sheetId="22" r:id="rId2"/>
    <sheet name="PRECIO DE VENTA" sheetId="23" r:id="rId3"/>
    <sheet name="PRECIO DE VENTA RESUMEN" sheetId="43" r:id="rId4"/>
    <sheet name="PROYECCION DE VENTAS" sheetId="24" r:id="rId5"/>
    <sheet name="PUNTO DE EQUILIBRIO" sheetId="25" r:id="rId6"/>
    <sheet name="ESTADO DE RESULTADOS PROYECTADO" sheetId="29" r:id="rId7"/>
    <sheet name=" PE Y MEZCA EN LINEAS DE P." sheetId="30" r:id="rId8"/>
    <sheet name="LIQUIDACIÓN" sheetId="42" r:id="rId9"/>
  </sheets>
  <calcPr calcId="162913"/>
</workbook>
</file>

<file path=xl/calcChain.xml><?xml version="1.0" encoding="utf-8"?>
<calcChain xmlns="http://schemas.openxmlformats.org/spreadsheetml/2006/main">
  <c r="N22" i="29" l="1"/>
  <c r="N26" i="29" s="1"/>
  <c r="N39" i="29"/>
  <c r="I22" i="29"/>
  <c r="I39" i="29"/>
  <c r="I43" i="29" s="1"/>
  <c r="C39" i="29"/>
  <c r="C22" i="29"/>
  <c r="N43" i="29"/>
  <c r="I45" i="29"/>
  <c r="I28" i="29"/>
  <c r="I26" i="29"/>
  <c r="C45" i="29"/>
  <c r="C28" i="29"/>
  <c r="C41" i="29"/>
  <c r="C24" i="29"/>
  <c r="N5" i="29"/>
  <c r="C5" i="29"/>
  <c r="B39" i="25"/>
  <c r="N39" i="25"/>
  <c r="N41" i="25" s="1"/>
  <c r="N48" i="25" s="1"/>
  <c r="O48" i="25" s="1"/>
  <c r="N22" i="25"/>
  <c r="N24" i="25" s="1"/>
  <c r="N31" i="25" s="1"/>
  <c r="O31" i="25" s="1"/>
  <c r="N5" i="25"/>
  <c r="N7" i="25" s="1"/>
  <c r="N14" i="25" s="1"/>
  <c r="O14" i="25" s="1"/>
  <c r="H39" i="25"/>
  <c r="H41" i="25" s="1"/>
  <c r="H48" i="25" s="1"/>
  <c r="I48" i="25" s="1"/>
  <c r="H22" i="25"/>
  <c r="H24" i="25" s="1"/>
  <c r="H31" i="25" s="1"/>
  <c r="I31" i="25" s="1"/>
  <c r="H5" i="25"/>
  <c r="H7" i="25" s="1"/>
  <c r="H14" i="25" s="1"/>
  <c r="I14" i="25" s="1"/>
  <c r="C43" i="29" l="1"/>
  <c r="C47" i="29" s="1"/>
  <c r="C52" i="29" s="1"/>
  <c r="C26" i="29"/>
  <c r="C30" i="29" s="1"/>
  <c r="C35" i="29" s="1"/>
  <c r="I47" i="29"/>
  <c r="I52" i="29" s="1"/>
  <c r="I30" i="29"/>
  <c r="I35" i="29" s="1"/>
  <c r="D36" i="24"/>
  <c r="D37" i="24"/>
  <c r="D38" i="24"/>
  <c r="D39" i="24"/>
  <c r="D40" i="24"/>
  <c r="D41" i="24"/>
  <c r="D42" i="24"/>
  <c r="D43" i="24"/>
  <c r="D44" i="24"/>
  <c r="D45" i="24"/>
  <c r="D46" i="24"/>
  <c r="D35" i="24"/>
  <c r="D21" i="24"/>
  <c r="D22" i="24"/>
  <c r="D23" i="24"/>
  <c r="D24" i="24"/>
  <c r="D25" i="24"/>
  <c r="D26" i="24"/>
  <c r="D27" i="24"/>
  <c r="D28" i="24"/>
  <c r="D29" i="24"/>
  <c r="D30" i="24"/>
  <c r="D31" i="24"/>
  <c r="D20" i="24"/>
  <c r="D4" i="24"/>
  <c r="D5" i="24"/>
  <c r="D6" i="24"/>
  <c r="D7" i="24"/>
  <c r="D8" i="24"/>
  <c r="D9" i="24"/>
  <c r="D10" i="24"/>
  <c r="D11" i="24"/>
  <c r="D12" i="24"/>
  <c r="D13" i="24"/>
  <c r="D14" i="24"/>
  <c r="D3" i="24"/>
  <c r="D15" i="24" s="1"/>
  <c r="D26" i="21"/>
  <c r="E26" i="21"/>
  <c r="F26" i="21"/>
  <c r="G26" i="21"/>
  <c r="H26" i="21"/>
  <c r="I26" i="21"/>
  <c r="J26" i="21"/>
  <c r="K26" i="21"/>
  <c r="L26" i="21"/>
  <c r="M26" i="21"/>
  <c r="N26" i="21"/>
  <c r="C26" i="21"/>
  <c r="B7" i="22"/>
  <c r="D32" i="24" l="1"/>
  <c r="D47" i="24"/>
  <c r="I5" i="29"/>
  <c r="F17" i="24" l="1"/>
  <c r="O36" i="21"/>
  <c r="T38" i="21" l="1"/>
  <c r="H16" i="42" l="1"/>
  <c r="H15" i="42"/>
  <c r="H14" i="42"/>
  <c r="H13" i="42"/>
  <c r="H12" i="42"/>
  <c r="H8" i="42"/>
  <c r="H9" i="42" s="1"/>
  <c r="H7" i="42"/>
  <c r="H6" i="42"/>
  <c r="H10" i="42" s="1"/>
  <c r="B16" i="42"/>
  <c r="B15" i="42"/>
  <c r="B13" i="42"/>
  <c r="B14" i="42"/>
  <c r="B12" i="42"/>
  <c r="B17" i="42" s="1"/>
  <c r="B9" i="42"/>
  <c r="B8" i="42"/>
  <c r="B7" i="42"/>
  <c r="B6" i="42"/>
  <c r="B10" i="42" s="1"/>
  <c r="O33" i="21"/>
  <c r="O34" i="21"/>
  <c r="O35" i="21"/>
  <c r="O37" i="21"/>
  <c r="O38" i="21"/>
  <c r="O39" i="21"/>
  <c r="O40" i="21"/>
  <c r="O41" i="21"/>
  <c r="O44" i="21"/>
  <c r="O45" i="21"/>
  <c r="O46" i="21"/>
  <c r="O47" i="21"/>
  <c r="O48" i="21"/>
  <c r="O49" i="21"/>
  <c r="O50" i="21"/>
  <c r="O51" i="21"/>
  <c r="O19" i="21"/>
  <c r="O20" i="21"/>
  <c r="O21" i="21"/>
  <c r="O25" i="21"/>
  <c r="O3" i="21"/>
  <c r="O4" i="21"/>
  <c r="O5" i="21"/>
  <c r="O6" i="21"/>
  <c r="O7" i="21"/>
  <c r="O8" i="21"/>
  <c r="N16" i="21"/>
  <c r="C53" i="21"/>
  <c r="N53" i="21"/>
  <c r="N30" i="21"/>
  <c r="L30" i="21"/>
  <c r="M30" i="21"/>
  <c r="M53" i="21"/>
  <c r="M16" i="21"/>
  <c r="L53" i="21"/>
  <c r="L16" i="21"/>
  <c r="K53" i="21"/>
  <c r="K30" i="21"/>
  <c r="K16" i="21"/>
  <c r="J30" i="21"/>
  <c r="I53" i="21"/>
  <c r="J53" i="21"/>
  <c r="J16" i="21"/>
  <c r="F53" i="21"/>
  <c r="E30" i="21"/>
  <c r="F30" i="21"/>
  <c r="G30" i="21"/>
  <c r="H30" i="21"/>
  <c r="I30" i="21"/>
  <c r="O26" i="21"/>
  <c r="I16" i="21"/>
  <c r="H53" i="21"/>
  <c r="H16" i="21"/>
  <c r="G16" i="21"/>
  <c r="G53" i="21"/>
  <c r="F16" i="21"/>
  <c r="E53" i="21"/>
  <c r="E16" i="21"/>
  <c r="H17" i="42" l="1"/>
  <c r="H19" i="42" s="1"/>
  <c r="L55" i="21"/>
  <c r="N55" i="21"/>
  <c r="M55" i="21"/>
  <c r="K55" i="21"/>
  <c r="J55" i="21"/>
  <c r="I55" i="21"/>
  <c r="H55" i="21"/>
  <c r="G55" i="21"/>
  <c r="F55" i="21"/>
  <c r="E55" i="21"/>
  <c r="D53" i="21"/>
  <c r="O53" i="21" s="1"/>
  <c r="D30" i="21"/>
  <c r="D16" i="21"/>
  <c r="D55" i="21" l="1"/>
  <c r="O55" i="21" s="1"/>
  <c r="C30" i="21" l="1"/>
  <c r="O30" i="21" s="1"/>
  <c r="C16" i="21"/>
  <c r="O16" i="21" s="1"/>
  <c r="B19" i="42" l="1"/>
  <c r="F38" i="30"/>
  <c r="F40" i="30" s="1"/>
  <c r="F42" i="30" s="1"/>
  <c r="E38" i="30"/>
  <c r="C28" i="30"/>
  <c r="C27" i="30"/>
  <c r="B17" i="30"/>
  <c r="F16" i="30" s="1"/>
  <c r="N9" i="29"/>
  <c r="C26" i="30" l="1"/>
  <c r="D38" i="30"/>
  <c r="D34" i="30"/>
  <c r="F15" i="30"/>
  <c r="F14" i="30" l="1"/>
  <c r="A21" i="30" l="1"/>
  <c r="T39" i="21"/>
  <c r="C7" i="22" s="1"/>
  <c r="B36" i="22" l="1"/>
  <c r="D36" i="22" s="1"/>
  <c r="B39" i="22" s="1"/>
  <c r="D39" i="22" s="1"/>
  <c r="F11" i="22" s="1"/>
  <c r="C11" i="29"/>
  <c r="B25" i="22"/>
  <c r="B22" i="25" s="1"/>
  <c r="B24" i="25" s="1"/>
  <c r="C7" i="29"/>
  <c r="C9" i="29" s="1"/>
  <c r="D39" i="30"/>
  <c r="I11" i="29"/>
  <c r="E6" i="30"/>
  <c r="D16" i="30" s="1"/>
  <c r="I9" i="29"/>
  <c r="F6" i="30"/>
  <c r="N45" i="29" l="1"/>
  <c r="N47" i="29" s="1"/>
  <c r="N52" i="29" s="1"/>
  <c r="N11" i="29"/>
  <c r="N13" i="29" s="1"/>
  <c r="N18" i="29" s="1"/>
  <c r="N28" i="29"/>
  <c r="N30" i="29" s="1"/>
  <c r="N35" i="29" s="1"/>
  <c r="G36" i="22"/>
  <c r="I19" i="22" s="1"/>
  <c r="E7" i="30"/>
  <c r="D25" i="22"/>
  <c r="B28" i="22" s="1"/>
  <c r="D28" i="22" s="1"/>
  <c r="F10" i="22" s="1"/>
  <c r="B32" i="30"/>
  <c r="D32" i="30" s="1"/>
  <c r="D41" i="30"/>
  <c r="B41" i="25"/>
  <c r="B48" i="25" s="1"/>
  <c r="C48" i="25" s="1"/>
  <c r="D7" i="22"/>
  <c r="B10" i="22" s="1"/>
  <c r="D10" i="22" s="1"/>
  <c r="F9" i="22" s="1"/>
  <c r="G10" i="22" s="1"/>
  <c r="B5" i="25"/>
  <c r="B7" i="25" s="1"/>
  <c r="B14" i="25" s="1"/>
  <c r="C14" i="25" s="1"/>
  <c r="C13" i="29"/>
  <c r="C18" i="29" s="1"/>
  <c r="I13" i="29"/>
  <c r="I18" i="29" s="1"/>
  <c r="B31" i="25"/>
  <c r="C31" i="25" s="1"/>
  <c r="D15" i="30"/>
  <c r="E40" i="30" s="1"/>
  <c r="E42" i="30" s="1"/>
  <c r="D14" i="30"/>
  <c r="D40" i="30" s="1"/>
  <c r="G26" i="22" l="1"/>
  <c r="A15" i="23"/>
  <c r="H15" i="23" s="1"/>
  <c r="O15" i="23" s="1"/>
  <c r="A25" i="23"/>
  <c r="A5" i="23"/>
  <c r="H5" i="23" s="1"/>
  <c r="D42" i="30"/>
  <c r="C20" i="23"/>
  <c r="E20" i="23" s="1"/>
  <c r="B15" i="23" s="1"/>
  <c r="F9" i="30" s="1"/>
  <c r="E15" i="30" s="1"/>
  <c r="G15" i="30" s="1"/>
  <c r="C10" i="23"/>
  <c r="E10" i="23" s="1"/>
  <c r="B5" i="23" s="1"/>
  <c r="C5" i="23" s="1"/>
  <c r="E4" i="23" s="1"/>
  <c r="D5" i="23" s="1"/>
  <c r="G9" i="30" s="1"/>
  <c r="E16" i="30" s="1"/>
  <c r="G16" i="30" s="1"/>
  <c r="C55" i="21"/>
  <c r="J10" i="23" l="1"/>
  <c r="L10" i="23" s="1"/>
  <c r="I5" i="23" s="1"/>
  <c r="J5" i="23" s="1"/>
  <c r="L4" i="23" s="1"/>
  <c r="K5" i="23" s="1"/>
  <c r="O5" i="23"/>
  <c r="Q20" i="23"/>
  <c r="S20" i="23" s="1"/>
  <c r="P15" i="23" s="1"/>
  <c r="Q15" i="23" s="1"/>
  <c r="S14" i="23" s="1"/>
  <c r="R15" i="23" s="1"/>
  <c r="J20" i="23"/>
  <c r="L20" i="23" s="1"/>
  <c r="I15" i="23" s="1"/>
  <c r="J15" i="23" s="1"/>
  <c r="L14" i="23" s="1"/>
  <c r="K15" i="23" s="1"/>
  <c r="C30" i="23"/>
  <c r="E30" i="23" s="1"/>
  <c r="B25" i="23" s="1"/>
  <c r="C25" i="23" s="1"/>
  <c r="E24" i="23" s="1"/>
  <c r="D25" i="23" s="1"/>
  <c r="H25" i="23"/>
  <c r="O25" i="23" s="1"/>
  <c r="C15" i="23"/>
  <c r="E14" i="23" s="1"/>
  <c r="D15" i="23" s="1"/>
  <c r="E9" i="30"/>
  <c r="E14" i="30" s="1"/>
  <c r="G14" i="30" s="1"/>
  <c r="G17" i="30" s="1"/>
  <c r="B21" i="30" s="1"/>
  <c r="D21" i="30" s="1"/>
  <c r="Q30" i="23" l="1"/>
  <c r="S30" i="23" s="1"/>
  <c r="P25" i="23" s="1"/>
  <c r="Q25" i="23" s="1"/>
  <c r="S24" i="23" s="1"/>
  <c r="R25" i="23" s="1"/>
  <c r="Q10" i="23"/>
  <c r="S10" i="23" s="1"/>
  <c r="P5" i="23" s="1"/>
  <c r="Q5" i="23" s="1"/>
  <c r="S4" i="23" s="1"/>
  <c r="R5" i="23" s="1"/>
  <c r="J30" i="23"/>
  <c r="L30" i="23" s="1"/>
  <c r="I25" i="23" s="1"/>
  <c r="J25" i="23" s="1"/>
  <c r="L24" i="23" s="1"/>
  <c r="K25" i="23" s="1"/>
</calcChain>
</file>

<file path=xl/sharedStrings.xml><?xml version="1.0" encoding="utf-8"?>
<sst xmlns="http://schemas.openxmlformats.org/spreadsheetml/2006/main" count="536" uniqueCount="195">
  <si>
    <t>Mano de obra</t>
  </si>
  <si>
    <t>VARIABLE</t>
  </si>
  <si>
    <t>SUBTOTAL</t>
  </si>
  <si>
    <t>Materia prima</t>
  </si>
  <si>
    <t>FIJO</t>
  </si>
  <si>
    <t>CIF</t>
  </si>
  <si>
    <t xml:space="preserve">TOTAL </t>
  </si>
  <si>
    <t>FEBRERO</t>
  </si>
  <si>
    <t>ARRENDAMIENTO</t>
  </si>
  <si>
    <t>TRANSPORTE</t>
  </si>
  <si>
    <t>CREACIÓN DE VOLANTES</t>
  </si>
  <si>
    <t>DISTRIBUCIÓN DE VOLANTERIA</t>
  </si>
  <si>
    <t xml:space="preserve">REDES SOCIALES </t>
  </si>
  <si>
    <t xml:space="preserve">PAGINA WEB </t>
  </si>
  <si>
    <t xml:space="preserve">ADECUACIÓN DE ESPACIOS </t>
  </si>
  <si>
    <t>TELEFONIA E INTERNET</t>
  </si>
  <si>
    <t>IMPLEMENTOS DE CUIDADO PERSONAL</t>
  </si>
  <si>
    <t>PESTAÑAS</t>
  </si>
  <si>
    <t xml:space="preserve">INSUMOS </t>
  </si>
  <si>
    <t>ESPACIOS CENTROS COMERCIALES</t>
  </si>
  <si>
    <t>TARJETAS DE PRESENTACIÓN</t>
  </si>
  <si>
    <t>SEGUROS</t>
  </si>
  <si>
    <t>HONORARIOS (CONTADOR)</t>
  </si>
  <si>
    <t>NOMINA (OPERATIVO)</t>
  </si>
  <si>
    <t>KIT DE EXTENCIÓN</t>
  </si>
  <si>
    <t>MANTENIMIENTO EQUIPOS DE COMPUTO</t>
  </si>
  <si>
    <t>CFT= CF+CV</t>
  </si>
  <si>
    <t>n</t>
  </si>
  <si>
    <t>CF</t>
  </si>
  <si>
    <t>CV</t>
  </si>
  <si>
    <t>CT</t>
  </si>
  <si>
    <t>CT = CV+CF</t>
  </si>
  <si>
    <t>CU= CT/Q</t>
  </si>
  <si>
    <t>Q</t>
  </si>
  <si>
    <t>CU</t>
  </si>
  <si>
    <t xml:space="preserve">Determine el Costo Unitario (CU), teniendo en cuenta: </t>
  </si>
  <si>
    <t>LINEA A</t>
  </si>
  <si>
    <t>TRABAJOS A REALIZAR MENSUALMENTE</t>
  </si>
  <si>
    <t>Costo fijo</t>
  </si>
  <si>
    <t>Costo variable</t>
  </si>
  <si>
    <t>MCU</t>
  </si>
  <si>
    <t>PV= CU+ MCU</t>
  </si>
  <si>
    <t>PV</t>
  </si>
  <si>
    <t>PERIODO</t>
  </si>
  <si>
    <t>PRECIO DE VENTA</t>
  </si>
  <si>
    <t>CANTIDAD</t>
  </si>
  <si>
    <t>INGRESO TOTAL</t>
  </si>
  <si>
    <t>MES 1</t>
  </si>
  <si>
    <t>MES 2</t>
  </si>
  <si>
    <t>MES 3</t>
  </si>
  <si>
    <t>MES 4</t>
  </si>
  <si>
    <t>MES 5</t>
  </si>
  <si>
    <t>MES 6</t>
  </si>
  <si>
    <t>MES 7</t>
  </si>
  <si>
    <t>MES 8</t>
  </si>
  <si>
    <t>MES 9</t>
  </si>
  <si>
    <t>MES 10</t>
  </si>
  <si>
    <t>MES 11</t>
  </si>
  <si>
    <t>MES 12</t>
  </si>
  <si>
    <t>INGRESO TOTAL ANUAL</t>
  </si>
  <si>
    <t>PEQ      =</t>
  </si>
  <si>
    <t>PEQ=</t>
  </si>
  <si>
    <t>PEQ</t>
  </si>
  <si>
    <t>I</t>
  </si>
  <si>
    <t>PEQ= Q</t>
  </si>
  <si>
    <t>EN LA EMPRESA DE DISEÑO SE ASPIRA QUE MENSUALMENTE SE HARAN 25 MONTAJES, DETERMINANDO EL COSTO UNITARIO SE ENCUENTRA QUE ESTE TENDRA UN VALOR DE $ 173.326</t>
  </si>
  <si>
    <t>CF/ PV</t>
  </si>
  <si>
    <t xml:space="preserve">LA EMPRESA DEBE DE HACER COMO MINIMO 10 MONTAJES, PARA NO PERDER NI GANAR, ES DECIR PARA TENER PUNTO DE EQUILIBRIO DONDE LOS INGRESOS SON IGUALES A LOS CT= CF+CV  </t>
  </si>
  <si>
    <t>ESTRUCTURA DE UN ESTADO DE RESULTADOS</t>
  </si>
  <si>
    <t>DESCRIPCION</t>
  </si>
  <si>
    <t>VENTAS ( I=P*Q)</t>
  </si>
  <si>
    <t>UTILIDAD BRUTA</t>
  </si>
  <si>
    <t>UTILIDAD NETA ANTES DE IMPUESTO</t>
  </si>
  <si>
    <t>MEZCLA EN LINEAS DE PRODUCTOS- PRIMER METODO</t>
  </si>
  <si>
    <t>COSTOS</t>
  </si>
  <si>
    <t>Unidades producidas y vendidas</t>
  </si>
  <si>
    <t>Total costo variable unitarios</t>
  </si>
  <si>
    <t>Total costos fijos</t>
  </si>
  <si>
    <t>Precio de venta unidad</t>
  </si>
  <si>
    <t>HALLAR EL MCP</t>
  </si>
  <si>
    <t>LINEA</t>
  </si>
  <si>
    <t>UNIDADES VENDIDAS</t>
  </si>
  <si>
    <t>PRECIO DE VENTA UNITARIO</t>
  </si>
  <si>
    <t>COSTO VARIABLE U</t>
  </si>
  <si>
    <t>M.C.U</t>
  </si>
  <si>
    <t>%</t>
  </si>
  <si>
    <t>PONDERACIÓN</t>
  </si>
  <si>
    <t>TOTAL</t>
  </si>
  <si>
    <t>MCP</t>
  </si>
  <si>
    <t>PE TOTAL</t>
  </si>
  <si>
    <t>LÍNEA</t>
  </si>
  <si>
    <t>ESTADO DE RESULTADOS</t>
  </si>
  <si>
    <t>VENTAS</t>
  </si>
  <si>
    <t>COSTOS VARIABLES</t>
  </si>
  <si>
    <t>UTILIDAD OPERATIVA</t>
  </si>
  <si>
    <t>COSTOS FIJOS</t>
  </si>
  <si>
    <t>UTILIDAD OPERATIVA ANTES DE IMP.</t>
  </si>
  <si>
    <t>CANTIDAD MÍNIMA A VENDER DE CADA LÍNEA PRODUCTO PARA CUBRIR NUESTROS  COSTOS SIN TENER GANANCIAS</t>
  </si>
  <si>
    <t>IVA</t>
  </si>
  <si>
    <t>CIFRA DE LOS CF QUE LE CORRESPONDE A CADA LÍNEA DE PRODUCTO</t>
  </si>
  <si>
    <t>COMBO</t>
  </si>
  <si>
    <t>MONTAJE</t>
  </si>
  <si>
    <t>MANTENIMIENTO</t>
  </si>
  <si>
    <t>MANENIMIENTO</t>
  </si>
  <si>
    <t>ENERO</t>
  </si>
  <si>
    <t>COMISIÓN SPA</t>
  </si>
  <si>
    <t>MARZO</t>
  </si>
  <si>
    <t>ABRIL</t>
  </si>
  <si>
    <t>MAYO</t>
  </si>
  <si>
    <t xml:space="preserve">SALARIO </t>
  </si>
  <si>
    <t>DÍAS LABORADOS</t>
  </si>
  <si>
    <t>OPERARIO FIJO</t>
  </si>
  <si>
    <t>PRIMA DE SERVICIOS</t>
  </si>
  <si>
    <t>COMISIÓN</t>
  </si>
  <si>
    <t>VACACIONES</t>
  </si>
  <si>
    <t>CESANTIÁS</t>
  </si>
  <si>
    <t>INT. CESANTIAS</t>
  </si>
  <si>
    <t>ICBF</t>
  </si>
  <si>
    <t>Sena</t>
  </si>
  <si>
    <t xml:space="preserve">SALUD </t>
  </si>
  <si>
    <t>PENSION</t>
  </si>
  <si>
    <t>CAJA DE COMPENSACIÓN</t>
  </si>
  <si>
    <t>JUNIO</t>
  </si>
  <si>
    <t>LIQUIDACIÓN FIJO</t>
  </si>
  <si>
    <t>COMISIÓN (PRESTACIÓN DE SERVICIOS)</t>
  </si>
  <si>
    <t>JULIO</t>
  </si>
  <si>
    <t>SEPTIEMBRE</t>
  </si>
  <si>
    <t>OCTUBRE</t>
  </si>
  <si>
    <t>AGOSTO</t>
  </si>
  <si>
    <t>DIAS LABORADOS</t>
  </si>
  <si>
    <t>PRIMER SEMESTRE</t>
  </si>
  <si>
    <t>SEGUNDO SEMESTRE</t>
  </si>
  <si>
    <t xml:space="preserve">COMISION </t>
  </si>
  <si>
    <t>NOVIEMBRE</t>
  </si>
  <si>
    <t>DICIEMBRE</t>
  </si>
  <si>
    <t>AUXiLIO DE TRANSPORTE</t>
  </si>
  <si>
    <t>COMISIÓN PERSONAL DE PLANTA</t>
  </si>
  <si>
    <t>MENSUALMENTE  POR REALIZAR 15 RETOQUES, LA EMPRESA  TENDRA UNA UTILIDAD NETA POR SPA DE</t>
  </si>
  <si>
    <t>RETOQUE</t>
  </si>
  <si>
    <t>AUX. TRANSPORTE</t>
  </si>
  <si>
    <t>HONORARIOS (ADMINISTRADORES)</t>
  </si>
  <si>
    <t>ANUAL</t>
  </si>
  <si>
    <t>CADA MONTAJE QUE SE VA A REALIZAR EN LA EMPRESA DISEÑO TENDRA UN VALOR MENSUAL DE VENTA $50.000</t>
  </si>
  <si>
    <t>SERVICIOS PUBLICOS</t>
  </si>
  <si>
    <t xml:space="preserve">LA EMPRESA DEBE DE HACER COMO MINIMO 15 RETOQUES POR SPA, PARA NO PERDER NI GANAR, ES DECIR PARA TENER PUNTO DE EQUILIBRIO DONDE LOS INGRESOS SON IGUALES A LOS CT= CF+CV  </t>
  </si>
  <si>
    <t>SIGNIFICA QUE LA EMPRESA VA A TENER UN INGRESO EN PEQ POR LA REALIZACION DE ESOS 10 MONTAJES POR SPA, UN VALOR DE $150.000, ES DECIR PARA NO PERDER NI GANAR.</t>
  </si>
  <si>
    <t>SIGNIFICA QUE LA EMPRESA VA A TENER UN INGRESO EN PEQ POR LA REALIZACION DE ESOS 15 MANTENIMIENTOS POR SPA, UN VALOR DE $50.000, ES DECIR PARA NO PERDER NI GANAR.</t>
  </si>
  <si>
    <t>SIGNIFICA QUE LA EMPRESA VA A TENER UN INGRESO EN PEQ POR LA REALIZACION DE ESOS 8 COMBOS POR SPA, UN VALOR DE $200.000, ES DECIR PARA NO PERDER NI GANAR.</t>
  </si>
  <si>
    <r>
      <t xml:space="preserve">UNIDADES MINIMAS A VENDER EN PE PARA LAS 3 LÍNEAS DE PRODUCTO. FORMULA </t>
    </r>
    <r>
      <rPr>
        <sz val="11"/>
        <color rgb="FFFF0000"/>
        <rFont val="Calibri"/>
        <family val="2"/>
        <scheme val="minor"/>
      </rPr>
      <t>PE TOTAL= CFT/MCP</t>
    </r>
  </si>
  <si>
    <t>apertura</t>
  </si>
  <si>
    <t>Posicionamiento</t>
  </si>
  <si>
    <t>Normal</t>
  </si>
  <si>
    <t>Temporada</t>
  </si>
  <si>
    <t>PRECIO DE COMPETENCIA</t>
  </si>
  <si>
    <t>PRECIO DE COPETENCIA</t>
  </si>
  <si>
    <t>PRECIO DE APERTURA/TEMPORADA</t>
  </si>
  <si>
    <t>CADA MONTAJE QUE SE VA A REALIZAR EN LA EMPRESA LOS PRIMEROS CUATRO MESES TENDRA UN VALOR MENSUAL DE VENTA $100.000</t>
  </si>
  <si>
    <t>CADA MONTAJE QUE SE VA A REALIZAR EN LA EMPRESA DURANTE LOS CUATRO MESES SIGUIENTES A LA TEMPORADA DE APERTURA TENDRA UN VALOR MENSUAL DE VENTA $110.000</t>
  </si>
  <si>
    <t>CADA RETOQUE QUE SE VA A REALIZAR EN LA EMPRESA DURANTE LOS CUATRO MESES SIGUIENTES A LA TEMPORADA DE APERTURA TENDRA UN VALOR MENSUAL DE VENTA $40.000</t>
  </si>
  <si>
    <t>CADA RETOQUE QUE SE VA A REALIZAR EN LA EMPRESA DURANTE LOS PRIMEROS CUATRO MESES TENDRA UN VALOR MENSUAL DE VENTA $35.000</t>
  </si>
  <si>
    <t>CADA RETOQUE QUE SE VA A REALIZAR EN LA EMPRESA DURANTE LOS CUATRO MESES SIGUIENTES A LA TEMPORADA DE APERTURA TENDRA UN VALOR MENSUAL DE VENTA $135.000</t>
  </si>
  <si>
    <t>CADA MONTAJE QUE SE VA A REALIZAR EN LA EMPRESA  TENDRA UN VALOR MENSUAL DE VENTA $ 150.000</t>
  </si>
  <si>
    <t>PRECIO NORMAL</t>
  </si>
  <si>
    <t>PRECIO TEMPORADA</t>
  </si>
  <si>
    <t>PRECIO APERTURA</t>
  </si>
  <si>
    <t>PRECIO POSICIONAMIENTO</t>
  </si>
  <si>
    <t>CADA RETOQUE QUE SE VA A REALIZAR EN LA EMPRESA DURANTE LOS PRIMEROS CUATRO MESES TENDRA UN VALOR MENSUAL DE VENTA $120.000</t>
  </si>
  <si>
    <t>CADA PROYECTO QUE SE VA A REALIZAR EN LA EMPRESA TENDRA UN VALOR MENSUAL DE VENTA $ 170.000</t>
  </si>
  <si>
    <t>TOTAL INGRESO ANUAL DE LAS 3 LINEAS</t>
  </si>
  <si>
    <t xml:space="preserve">PUNTO DE EQUILIBRIO EN UNIDADES Y PESOS </t>
  </si>
  <si>
    <t>PRECIO DE APERTURA</t>
  </si>
  <si>
    <t>SIGNIFICA QUE LA EMPRESA VA A TENER UN INGRESO EN PEQ POR LA REALIZACION DE ESOS 7 MONTAJES POR SPA, A UN VALOR DE $100.000, ES DECIR PARA NO PERDER NI GANAR.</t>
  </si>
  <si>
    <t xml:space="preserve">LA EMPRESA DEBE DE HACER COMO MINIMO 7 MONTAJES, PARA NO PERDER NI GANAR, ES DECIR PARA TENER PUNTO DE EQUILIBRIO DONDE LOS INGRESOS SON IGUALES A LOS CT= CF+CV  </t>
  </si>
  <si>
    <t xml:space="preserve">LA EMPRESA DEBE DE HACER COMO MINIMO 21 RETOQUES POR SPA, PARA NO PERDER NI GANAR, ES DECIR PARA TENER PUNTO DE EQUILIBRIO DONDE LOS INGRESOS SON IGUALES A LOS CT= CF+CV  </t>
  </si>
  <si>
    <t>SIGNIFICA QUE LA EMPRESA VA A TENER UN INGRESO EN PEQ POR LA REALIZACION DE ESOS 21 MANTENIMIENTOS POR SPA, UN VALOR DE $35.000, ES DECIR PARA NO PERDER NI GANAR.</t>
  </si>
  <si>
    <t xml:space="preserve">LA EMPRESA DEBE DE HACER COMO MINIMO 6 COMBOS POR SPA, PARA NO PERDER NI GANAR, ES DECIR PARA TENER PUNTO DE EQUILIBRIO DONDE LOS INGRESOS SON IGUALES A LOS CT= CF+CV  </t>
  </si>
  <si>
    <t>SIGNIFICA QUE LA EMPRESA VA A TENER UN INGRESO EN PEQ POR LA REALIZACION DE ESOS 6 COMBOS POR SPA, UN VALOR DE $120.000, ES DECIR PARA NO PERDER NI GANAR.</t>
  </si>
  <si>
    <t>SIGNIFICA QUE LA EMPRESA VA A TENER UN INGRESO EN PEQ POR LA REALIZACION DE ESOS 7 MONTAJES POR SPA, A UN VALOR DE $110.000, ES DECIR PARA NO PERDER NI GANAR.</t>
  </si>
  <si>
    <t xml:space="preserve">LA EMPRESA DEBE DE HACER COMO MINIMO 18 RETOQUES POR SPA, PARA NO PERDER NI GANAR, ES DECIR PARA TENER PUNTO DE EQUILIBRIO DONDE LOS INGRESOS SON IGUALES A LOS CT= CF+CV  </t>
  </si>
  <si>
    <t>SIGNIFICA QUE LA EMPRESA VA A TENER UN INGRESO EN PEQ POR LA REALIZACION DE ESOS 18 MANTENIMIENTOS POR SPA, UN VALOR DE $40.000, ES DECIR PARA NO PERDER NI GANAR.</t>
  </si>
  <si>
    <t xml:space="preserve">LA EMPRESA DEBE DE HACER COMO MINIMO 5 COMBOS POR SPA, PARA NO PERDER NI GANAR, ES DECIR PARA TENER PUNTO DE EQUILIBRIO DONDE LOS INGRESOS SON IGUALES A LOS CT= CF+CV  </t>
  </si>
  <si>
    <t>SIGNIFICA QUE LA EMPRESA VA A TENER UN INGRESO EN PEQ POR LA REALIZACION DE ESOS 5 COMBOS POR SPA, UN VALOR DE $135.000, ES DECIR PARA NO PERDER NI GANAR.</t>
  </si>
  <si>
    <t xml:space="preserve">LA EMPRESA DEBE DE HACER COMO MINIMO 4 COMBOS POR SPA, PARA NO PERDER NI GANAR, ES DECIR PARA TENER PUNTO DE EQUILIBRIO DONDE LOS INGRESOS SON IGUALES A LOS CT= CF+CV  </t>
  </si>
  <si>
    <t>MENSUALMENTE  POR REALIZAR 5 MONTAJES , LA EMPRESA  TENDRA UNA UTILIDAD NETA POR SPA DE</t>
  </si>
  <si>
    <t>MENSUALMENTE  POR REALIZAR 4 RETOQUES, LA EMPRESA  TENDRA UNA UTILIDAD NETA POR SPA DE</t>
  </si>
  <si>
    <t>MENSUALMENTE  POR REALIZAR 7 MONTAJES , LA EMPRESA  TENDRA UNA UTILIDAD NETA POR SPA DE</t>
  </si>
  <si>
    <t>PRECIO COMPETENCIA</t>
  </si>
  <si>
    <t>MENSUALMENTE  POR REALIZAR 21 RETOQUES, LA EMPRESA  TENDRA UNA UTILIDAD NETA POR SPA DE</t>
  </si>
  <si>
    <t>MENSUALMENTE  POR REALIZAR 18 RETOQUES, LA EMPRESA  TENDRA UNA UTILIDAD NETA POR SPA DE</t>
  </si>
  <si>
    <t>MENSUALMENTE  POR REALIZAR 5 RETOQUES, LA EMPRESA  TENDRA UNA UTILIDAD NETA POR SPA DE</t>
  </si>
  <si>
    <t>MENSUALMENTE  POR REALIZAR 6 RETOQUES, LA EMPRESA  TENDRA UNA UTILIDAD NETA POR SPA DE</t>
  </si>
  <si>
    <t>LOS PRIMEROS CUATRO MESES AL LANZAMIENTO DEL SERVICIO, SE OFERTARA LOS SERVICIOS OFRECIDOS POR LA EMPRESA A UN PRECIO ESPECIAL, SIENDO DE $100.000 PARA LOS MONTAJES, $35.000 PARA LOS RETOQUES Y $120.000 PARA EL COMBO; SOLO SE HARÁ POR UNA SOLA VEZ.</t>
  </si>
  <si>
    <t>LOS CUATRO MESES POSTERIORES AL LANZAMIENTO DEL PRODUCTO, SE OFERTARÁ LOS SERVICIOS OFRECIDOS POR LA EMPRESA A UN PRECIO ESPECIAL QUE PERMITA TENER UN POSCIONAMIENTO EN EL MERCADO, SIENDO DE $110.000 PARA LOS MONTAJES, $40.000 PARA LOS RETOQUES Y $135.000 PARA EL COMBO, SOLO SE HARÁ POR UNA SOLA VEZ.</t>
  </si>
  <si>
    <t>LOS MESES POSTERIORES AL POSICIONAMIENTO, SE OFERTARA LOS SERVICIOS OFRECIDOS POR LA EMPRESA AL PRECIO NORMAL QUE SE ESTIMA OFRECER EN EL MERCADO, SIENDO DE $150.000 PARA LOS MONTAJES, $50.000 PARA LOS RETOQUES Y $170.000 PARA EL COMBO.</t>
  </si>
  <si>
    <t>SE ESTIMA ESTABLECER OFERTAS ESPECIALES PARA LAS TEMPORADAS ESPECIALES DEL AÑOS, ESTIMANDO OFRECER EN EL MERCADO LOS SERVICIOS A UN PRECIO DE $110.000 PARA LOS MONTAJES, $40.000 PARA LOS RETOQUES Y $135.000 PARA EL COMBO, ESTE PRECIO SE OFERTARÁ CADA AÑO EN TEMPORADA DECEMBRINA.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</si>
</sst>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2" formatCode="_-&quot;$&quot;\ * #,##0_-;\-&quot;$&quot;\ * #,##0_-;_-&quot;$&quot;\ * &quot;-&quot;_-;_-@_-"/>
    <numFmt numFmtId="164" formatCode="&quot;$&quot;\ #,##0_);[Red]\(&quot;$&quot;\ #,##0\)"/>
    <numFmt numFmtId="165" formatCode="&quot;$&quot;\ #,##0.00_);[Red]\(&quot;$&quot;\ #,##0.00\)"/>
    <numFmt numFmtId="166" formatCode="_-&quot;$&quot;\ * #,##0.00000_-;\-&quot;$&quot;\ * #,##0.00000_-;_-&quot;$&quot;\ * &quot;-&quot;_-;_-@_-"/>
    <numFmt numFmtId="167" formatCode="_(&quot;$&quot;\ * #,##0_);_(&quot;$&quot;\ * \(#,##0\);_(&quot;$&quot;\ 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medium">
        <color indexed="64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medium">
        <color theme="1"/>
      </left>
      <right style="thin">
        <color indexed="64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8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42" fontId="0" fillId="0" borderId="0" xfId="0" applyNumberFormat="1"/>
    <xf numFmtId="0" fontId="3" fillId="0" borderId="0" xfId="0" applyFont="1"/>
    <xf numFmtId="0" fontId="0" fillId="2" borderId="2" xfId="0" applyFill="1" applyBorder="1"/>
    <xf numFmtId="164" fontId="0" fillId="0" borderId="2" xfId="0" applyNumberFormat="1" applyBorder="1"/>
    <xf numFmtId="164" fontId="0" fillId="0" borderId="0" xfId="0" applyNumberFormat="1"/>
    <xf numFmtId="0" fontId="0" fillId="0" borderId="0" xfId="0" applyAlignment="1">
      <alignment wrapText="1"/>
    </xf>
    <xf numFmtId="0" fontId="2" fillId="3" borderId="2" xfId="0" applyFont="1" applyFill="1" applyBorder="1"/>
    <xf numFmtId="0" fontId="0" fillId="0" borderId="2" xfId="0" applyBorder="1"/>
    <xf numFmtId="164" fontId="0" fillId="0" borderId="0" xfId="0" applyNumberFormat="1" applyBorder="1"/>
    <xf numFmtId="0" fontId="0" fillId="0" borderId="0" xfId="0" applyBorder="1"/>
    <xf numFmtId="1" fontId="0" fillId="0" borderId="2" xfId="0" applyNumberFormat="1" applyBorder="1"/>
    <xf numFmtId="0" fontId="6" fillId="0" borderId="1" xfId="0" applyFont="1" applyBorder="1"/>
    <xf numFmtId="0" fontId="0" fillId="0" borderId="1" xfId="0" applyBorder="1" applyAlignment="1">
      <alignment horizontal="center"/>
    </xf>
    <xf numFmtId="164" fontId="0" fillId="0" borderId="1" xfId="0" applyNumberFormat="1" applyBorder="1"/>
    <xf numFmtId="164" fontId="0" fillId="0" borderId="7" xfId="0" applyNumberFormat="1" applyBorder="1"/>
    <xf numFmtId="2" fontId="0" fillId="0" borderId="1" xfId="0" applyNumberFormat="1" applyBorder="1"/>
    <xf numFmtId="165" fontId="0" fillId="0" borderId="1" xfId="0" applyNumberFormat="1" applyBorder="1"/>
    <xf numFmtId="0" fontId="5" fillId="0" borderId="0" xfId="0" applyFont="1" applyAlignment="1">
      <alignment horizontal="right"/>
    </xf>
    <xf numFmtId="165" fontId="0" fillId="0" borderId="0" xfId="0" applyNumberFormat="1"/>
    <xf numFmtId="164" fontId="0" fillId="0" borderId="0" xfId="0" applyNumberFormat="1" applyAlignment="1"/>
    <xf numFmtId="164" fontId="4" fillId="0" borderId="0" xfId="0" applyNumberFormat="1" applyFont="1"/>
    <xf numFmtId="0" fontId="0" fillId="0" borderId="1" xfId="0" applyBorder="1" applyAlignment="1">
      <alignment horizontal="right"/>
    </xf>
    <xf numFmtId="0" fontId="0" fillId="0" borderId="13" xfId="0" applyBorder="1"/>
    <xf numFmtId="2" fontId="0" fillId="0" borderId="1" xfId="0" applyNumberFormat="1" applyBorder="1" applyAlignment="1">
      <alignment horizontal="right"/>
    </xf>
    <xf numFmtId="0" fontId="0" fillId="0" borderId="0" xfId="0" applyBorder="1" applyAlignment="1">
      <alignment horizontal="left"/>
    </xf>
    <xf numFmtId="0" fontId="0" fillId="0" borderId="0" xfId="0" applyAlignment="1">
      <alignment horizontal="center"/>
    </xf>
    <xf numFmtId="0" fontId="0" fillId="2" borderId="16" xfId="0" applyFill="1" applyBorder="1"/>
    <xf numFmtId="164" fontId="0" fillId="2" borderId="17" xfId="0" applyNumberFormat="1" applyFill="1" applyBorder="1"/>
    <xf numFmtId="164" fontId="0" fillId="0" borderId="2" xfId="0" applyNumberFormat="1" applyFill="1" applyBorder="1"/>
    <xf numFmtId="0" fontId="0" fillId="0" borderId="0" xfId="0" applyBorder="1" applyAlignment="1">
      <alignment horizontal="center"/>
    </xf>
    <xf numFmtId="42" fontId="0" fillId="0" borderId="2" xfId="0" applyNumberFormat="1" applyBorder="1"/>
    <xf numFmtId="164" fontId="0" fillId="0" borderId="14" xfId="0" applyNumberFormat="1" applyBorder="1"/>
    <xf numFmtId="164" fontId="0" fillId="0" borderId="15" xfId="0" applyNumberFormat="1" applyBorder="1"/>
    <xf numFmtId="0" fontId="0" fillId="0" borderId="13" xfId="0" applyBorder="1" applyAlignment="1">
      <alignment horizontal="right"/>
    </xf>
    <xf numFmtId="167" fontId="0" fillId="0" borderId="0" xfId="0" applyNumberFormat="1"/>
    <xf numFmtId="167" fontId="0" fillId="0" borderId="2" xfId="0" applyNumberFormat="1" applyBorder="1"/>
    <xf numFmtId="167" fontId="0" fillId="0" borderId="2" xfId="0" applyNumberFormat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0" fontId="0" fillId="5" borderId="2" xfId="0" applyFill="1" applyBorder="1"/>
    <xf numFmtId="0" fontId="0" fillId="7" borderId="2" xfId="0" applyFill="1" applyBorder="1"/>
    <xf numFmtId="42" fontId="0" fillId="0" borderId="2" xfId="0" applyNumberFormat="1" applyBorder="1" applyAlignment="1">
      <alignment horizontal="center"/>
    </xf>
    <xf numFmtId="14" fontId="0" fillId="0" borderId="0" xfId="0" applyNumberFormat="1"/>
    <xf numFmtId="0" fontId="0" fillId="0" borderId="8" xfId="0" applyFill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42" fontId="0" fillId="0" borderId="2" xfId="0" applyNumberFormat="1" applyBorder="1" applyAlignment="1">
      <alignment horizontal="center" vertical="center"/>
    </xf>
    <xf numFmtId="42" fontId="0" fillId="0" borderId="0" xfId="0" applyNumberFormat="1" applyBorder="1"/>
    <xf numFmtId="0" fontId="0" fillId="0" borderId="0" xfId="0" applyAlignment="1"/>
    <xf numFmtId="0" fontId="0" fillId="0" borderId="19" xfId="0" applyBorder="1"/>
    <xf numFmtId="0" fontId="0" fillId="0" borderId="20" xfId="0" applyBorder="1"/>
    <xf numFmtId="42" fontId="0" fillId="0" borderId="20" xfId="0" applyNumberFormat="1" applyBorder="1"/>
    <xf numFmtId="0" fontId="0" fillId="0" borderId="22" xfId="0" applyBorder="1"/>
    <xf numFmtId="42" fontId="0" fillId="0" borderId="23" xfId="0" applyNumberFormat="1" applyBorder="1"/>
    <xf numFmtId="42" fontId="0" fillId="0" borderId="24" xfId="0" applyNumberFormat="1" applyBorder="1"/>
    <xf numFmtId="42" fontId="0" fillId="0" borderId="25" xfId="0" applyNumberFormat="1" applyBorder="1"/>
    <xf numFmtId="0" fontId="0" fillId="0" borderId="16" xfId="0" applyBorder="1"/>
    <xf numFmtId="0" fontId="0" fillId="0" borderId="9" xfId="0" applyBorder="1"/>
    <xf numFmtId="42" fontId="0" fillId="0" borderId="26" xfId="0" applyNumberFormat="1" applyBorder="1"/>
    <xf numFmtId="0" fontId="0" fillId="0" borderId="26" xfId="0" applyBorder="1"/>
    <xf numFmtId="0" fontId="0" fillId="0" borderId="4" xfId="0" applyBorder="1"/>
    <xf numFmtId="167" fontId="0" fillId="0" borderId="26" xfId="0" applyNumberFormat="1" applyBorder="1"/>
    <xf numFmtId="0" fontId="0" fillId="0" borderId="27" xfId="0" applyBorder="1"/>
    <xf numFmtId="0" fontId="0" fillId="0" borderId="28" xfId="0" applyBorder="1"/>
    <xf numFmtId="42" fontId="0" fillId="0" borderId="21" xfId="0" applyNumberFormat="1" applyBorder="1"/>
    <xf numFmtId="0" fontId="0" fillId="0" borderId="28" xfId="0" applyNumberFormat="1" applyBorder="1"/>
    <xf numFmtId="42" fontId="0" fillId="0" borderId="28" xfId="0" applyNumberFormat="1" applyBorder="1"/>
    <xf numFmtId="42" fontId="0" fillId="0" borderId="21" xfId="2" applyNumberFormat="1" applyFont="1" applyBorder="1"/>
    <xf numFmtId="0" fontId="0" fillId="0" borderId="10" xfId="0" applyBorder="1"/>
    <xf numFmtId="0" fontId="0" fillId="0" borderId="11" xfId="0" applyBorder="1"/>
    <xf numFmtId="0" fontId="0" fillId="0" borderId="21" xfId="0" applyBorder="1"/>
    <xf numFmtId="0" fontId="0" fillId="0" borderId="8" xfId="0" applyBorder="1" applyAlignment="1">
      <alignment horizontal="center"/>
    </xf>
    <xf numFmtId="0" fontId="0" fillId="0" borderId="33" xfId="0" applyBorder="1"/>
    <xf numFmtId="0" fontId="0" fillId="0" borderId="34" xfId="0" applyBorder="1"/>
    <xf numFmtId="0" fontId="0" fillId="0" borderId="35" xfId="0" applyBorder="1"/>
    <xf numFmtId="9" fontId="0" fillId="0" borderId="0" xfId="0" applyNumberFormat="1" applyBorder="1"/>
    <xf numFmtId="0" fontId="0" fillId="0" borderId="36" xfId="0" applyBorder="1"/>
    <xf numFmtId="164" fontId="0" fillId="0" borderId="35" xfId="0" applyNumberFormat="1" applyBorder="1"/>
    <xf numFmtId="0" fontId="0" fillId="0" borderId="40" xfId="0" applyBorder="1"/>
    <xf numFmtId="0" fontId="0" fillId="0" borderId="41" xfId="0" applyBorder="1"/>
    <xf numFmtId="164" fontId="0" fillId="0" borderId="41" xfId="0" applyNumberFormat="1" applyBorder="1"/>
    <xf numFmtId="9" fontId="0" fillId="0" borderId="41" xfId="2" applyFont="1" applyBorder="1"/>
    <xf numFmtId="42" fontId="0" fillId="0" borderId="41" xfId="0" applyNumberFormat="1" applyBorder="1"/>
    <xf numFmtId="0" fontId="0" fillId="8" borderId="2" xfId="0" applyFill="1" applyBorder="1"/>
    <xf numFmtId="0" fontId="6" fillId="0" borderId="2" xfId="0" applyFont="1" applyBorder="1"/>
    <xf numFmtId="0" fontId="6" fillId="0" borderId="19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164" fontId="0" fillId="0" borderId="16" xfId="0" applyNumberFormat="1" applyBorder="1"/>
    <xf numFmtId="0" fontId="4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4" fillId="0" borderId="32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0" fillId="0" borderId="9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37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42" xfId="0" applyBorder="1" applyAlignment="1">
      <alignment horizontal="center" wrapText="1"/>
    </xf>
    <xf numFmtId="0" fontId="0" fillId="0" borderId="43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38" xfId="0" applyBorder="1" applyAlignment="1">
      <alignment horizontal="center" wrapText="1"/>
    </xf>
    <xf numFmtId="0" fontId="0" fillId="0" borderId="44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39" xfId="0" applyBorder="1" applyAlignment="1">
      <alignment horizontal="center" wrapText="1"/>
    </xf>
    <xf numFmtId="0" fontId="6" fillId="7" borderId="2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0" fillId="0" borderId="46" xfId="0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0" fillId="4" borderId="4" xfId="0" applyFill="1" applyBorder="1" applyAlignment="1">
      <alignment horizontal="center" wrapText="1"/>
    </xf>
    <xf numFmtId="0" fontId="0" fillId="4" borderId="0" xfId="0" applyFill="1" applyAlignment="1">
      <alignment horizontal="center" wrapText="1"/>
    </xf>
    <xf numFmtId="164" fontId="5" fillId="4" borderId="4" xfId="0" applyNumberFormat="1" applyFont="1" applyFill="1" applyBorder="1" applyAlignment="1">
      <alignment horizontal="center"/>
    </xf>
    <xf numFmtId="0" fontId="5" fillId="4" borderId="0" xfId="0" applyFont="1" applyFill="1" applyAlignment="1">
      <alignment horizontal="center"/>
    </xf>
    <xf numFmtId="0" fontId="0" fillId="0" borderId="45" xfId="0" applyBorder="1" applyAlignment="1">
      <alignment horizontal="center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164" fontId="0" fillId="0" borderId="9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0" borderId="9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8" fillId="6" borderId="0" xfId="0" applyFont="1" applyFill="1" applyAlignment="1">
      <alignment horizontal="center" wrapText="1"/>
    </xf>
    <xf numFmtId="0" fontId="0" fillId="6" borderId="0" xfId="0" applyFill="1" applyAlignment="1">
      <alignment horizontal="center" wrapText="1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0" xfId="0" applyAlignment="1">
      <alignment horizontal="left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1" fontId="0" fillId="0" borderId="0" xfId="0" applyNumberFormat="1" applyBorder="1" applyAlignment="1"/>
    <xf numFmtId="0" fontId="0" fillId="0" borderId="0" xfId="0" applyNumberFormat="1" applyBorder="1" applyAlignment="1"/>
    <xf numFmtId="166" fontId="0" fillId="0" borderId="0" xfId="1" applyNumberFormat="1" applyFont="1" applyBorder="1"/>
    <xf numFmtId="1" fontId="0" fillId="0" borderId="0" xfId="0" applyNumberFormat="1" applyBorder="1"/>
    <xf numFmtId="164" fontId="0" fillId="0" borderId="36" xfId="0" applyNumberFormat="1" applyBorder="1"/>
    <xf numFmtId="0" fontId="0" fillId="2" borderId="35" xfId="0" applyFill="1" applyBorder="1"/>
    <xf numFmtId="1" fontId="0" fillId="0" borderId="0" xfId="1" applyNumberFormat="1" applyFont="1" applyBorder="1"/>
    <xf numFmtId="0" fontId="0" fillId="0" borderId="35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36" xfId="0" applyBorder="1" applyAlignment="1">
      <alignment horizontal="center" wrapText="1"/>
    </xf>
    <xf numFmtId="164" fontId="0" fillId="0" borderId="37" xfId="0" applyNumberFormat="1" applyBorder="1"/>
    <xf numFmtId="164" fontId="0" fillId="2" borderId="0" xfId="0" applyNumberFormat="1" applyFill="1" applyBorder="1"/>
    <xf numFmtId="0" fontId="0" fillId="0" borderId="40" xfId="0" applyBorder="1" applyAlignment="1">
      <alignment horizontal="center" wrapText="1"/>
    </xf>
    <xf numFmtId="0" fontId="0" fillId="0" borderId="41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32" xfId="0" applyBorder="1"/>
    <xf numFmtId="0" fontId="0" fillId="2" borderId="48" xfId="0" applyFill="1" applyBorder="1" applyAlignment="1">
      <alignment horizontal="center"/>
    </xf>
    <xf numFmtId="0" fontId="4" fillId="0" borderId="49" xfId="0" applyFont="1" applyBorder="1" applyAlignment="1">
      <alignment horizontal="center"/>
    </xf>
    <xf numFmtId="0" fontId="0" fillId="5" borderId="37" xfId="0" applyFill="1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44" xfId="0" applyBorder="1" applyAlignment="1">
      <alignment horizontal="center"/>
    </xf>
    <xf numFmtId="0" fontId="4" fillId="0" borderId="49" xfId="0" applyFont="1" applyBorder="1" applyAlignment="1"/>
  </cellXfs>
  <cellStyles count="3">
    <cellStyle name="Moneda [0]" xfId="1" builtinId="7"/>
    <cellStyle name="Normal" xfId="0" builtinId="0"/>
    <cellStyle name="Porcentaje" xfId="2" builtinId="5"/>
  </cellStyles>
  <dxfs count="29">
    <dxf>
      <numFmt numFmtId="32" formatCode="_-&quot;$&quot;\ * #,##0_-;\-&quot;$&quot;\ * #,##0_-;_-&quot;$&quot;\ * &quot;-&quot;_-;_-@_-"/>
    </dxf>
    <dxf>
      <numFmt numFmtId="32" formatCode="_-&quot;$&quot;\ * #,##0_-;\-&quot;$&quot;\ * #,##0_-;_-&quot;$&quot;\ * &quot;-&quot;_-;_-@_-"/>
    </dxf>
    <dxf>
      <numFmt numFmtId="32" formatCode="_-&quot;$&quot;\ * #,##0_-;\-&quot;$&quot;\ * #,##0_-;_-&quot;$&quot;\ * &quot;-&quot;_-;_-@_-"/>
    </dxf>
    <dxf>
      <numFmt numFmtId="32" formatCode="_-&quot;$&quot;\ * #,##0_-;\-&quot;$&quot;\ * #,##0_-;_-&quot;$&quot;\ * &quot;-&quot;_-;_-@_-"/>
    </dxf>
    <dxf>
      <numFmt numFmtId="32" formatCode="_-&quot;$&quot;\ * #,##0_-;\-&quot;$&quot;\ * #,##0_-;_-&quot;$&quot;\ * &quot;-&quot;_-;_-@_-"/>
    </dxf>
    <dxf>
      <numFmt numFmtId="32" formatCode="_-&quot;$&quot;\ * #,##0_-;\-&quot;$&quot;\ * #,##0_-;_-&quot;$&quot;\ * &quot;-&quot;_-;_-@_-"/>
    </dxf>
    <dxf>
      <numFmt numFmtId="32" formatCode="_-&quot;$&quot;\ * #,##0_-;\-&quot;$&quot;\ * #,##0_-;_-&quot;$&quot;\ * &quot;-&quot;_-;_-@_-"/>
    </dxf>
    <dxf>
      <numFmt numFmtId="32" formatCode="_-&quot;$&quot;\ * #,##0_-;\-&quot;$&quot;\ * #,##0_-;_-&quot;$&quot;\ * &quot;-&quot;_-;_-@_-"/>
    </dxf>
    <dxf>
      <numFmt numFmtId="32" formatCode="_-&quot;$&quot;\ * #,##0_-;\-&quot;$&quot;\ * #,##0_-;_-&quot;$&quot;\ * &quot;-&quot;_-;_-@_-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32" formatCode="_-&quot;$&quot;\ * #,##0_-;\-&quot;$&quot;\ * #,##0_-;_-&quot;$&quot;\ * &quot;-&quot;_-;_-@_-"/>
    </dxf>
    <dxf>
      <numFmt numFmtId="32" formatCode="_-&quot;$&quot;\ * #,##0_-;\-&quot;$&quot;\ * #,##0_-;_-&quot;$&quot;\ * &quot;-&quot;_-;_-@_-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32" formatCode="_-&quot;$&quot;\ * #,##0_-;\-&quot;$&quot;\ * #,##0_-;_-&quot;$&quot;\ * &quot;-&quot;_-;_-@_-"/>
    </dxf>
    <dxf>
      <numFmt numFmtId="32" formatCode="_-&quot;$&quot;\ * #,##0_-;\-&quot;$&quot;\ * #,##0_-;_-&quot;$&quot;\ * &quot;-&quot;_-;_-@_-"/>
    </dxf>
    <dxf>
      <numFmt numFmtId="32" formatCode="_-&quot;$&quot;\ * #,##0_-;\-&quot;$&quot;\ * #,##0_-;_-&quot;$&quot;\ * &quot;-&quot;_-;_-@_-"/>
    </dxf>
    <dxf>
      <numFmt numFmtId="32" formatCode="_-&quot;$&quot;\ * #,##0_-;\-&quot;$&quot;\ * #,##0_-;_-&quot;$&quot;\ * &quot;-&quot;_-;_-@_-"/>
    </dxf>
    <dxf>
      <numFmt numFmtId="32" formatCode="_-&quot;$&quot;\ * #,##0_-;\-&quot;$&quot;\ * #,##0_-;_-&quot;$&quot;\ * &quot;-&quot;_-;_-@_-"/>
    </dxf>
    <dxf>
      <numFmt numFmtId="32" formatCode="_-&quot;$&quot;\ * #,##0_-;\-&quot;$&quot;\ * #,##0_-;_-&quot;$&quot;\ * &quot;-&quot;_-;_-@_-"/>
    </dxf>
    <dxf>
      <numFmt numFmtId="32" formatCode="_-&quot;$&quot;\ * #,##0_-;\-&quot;$&quot;\ * #,##0_-;_-&quot;$&quot;\ * &quot;-&quot;_-;_-@_-"/>
    </dxf>
    <dxf>
      <numFmt numFmtId="32" formatCode="_-&quot;$&quot;\ * #,##0_-;\-&quot;$&quot;\ * #,##0_-;_-&quot;$&quot;\ * &quot;-&quot;_-;_-@_-"/>
    </dxf>
    <dxf>
      <numFmt numFmtId="32" formatCode="_-&quot;$&quot;\ * #,##0_-;\-&quot;$&quot;\ * #,##0_-;_-&quot;$&quot;\ * &quot;-&quot;_-;_-@_-"/>
    </dxf>
    <dxf>
      <numFmt numFmtId="32" formatCode="_-&quot;$&quot;\ * #,##0_-;\-&quot;$&quot;\ * #,##0_-;_-&quot;$&quot;\ * &quot;-&quot;_-;_-@_-"/>
    </dxf>
    <dxf>
      <numFmt numFmtId="32" formatCode="_-&quot;$&quot;\ * #,##0_-;\-&quot;$&quot;\ * #,##0_-;_-&quot;$&quot;\ * &quot;-&quot;_-;_-@_-"/>
    </dxf>
    <dxf>
      <numFmt numFmtId="32" formatCode="_-&quot;$&quot;\ * #,##0_-;\-&quot;$&quot;\ * #,##0_-;_-&quot;$&quot;\ * &quot;-&quot;_-;_-@_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id="40" name="Tabla241" displayName="Tabla241" ref="C2:O16" totalsRowShown="0">
  <autoFilter ref="C2:O16"/>
  <tableColumns count="13">
    <tableColumn id="3" name="ENERO"/>
    <tableColumn id="1" name="FEBRERO" dataDxfId="28"/>
    <tableColumn id="2" name="MARZO" dataDxfId="27"/>
    <tableColumn id="4" name="ABRIL" dataDxfId="26"/>
    <tableColumn id="5" name="MAYO" dataDxfId="25"/>
    <tableColumn id="6" name="JUNIO" dataDxfId="24"/>
    <tableColumn id="7" name="JULIO" dataDxfId="23"/>
    <tableColumn id="8" name="AGOSTO" dataDxfId="22"/>
    <tableColumn id="9" name="SEPTIEMBRE" dataDxfId="21"/>
    <tableColumn id="10" name="OCTUBRE" dataDxfId="20"/>
    <tableColumn id="11" name="NOVIEMBRE" dataDxfId="19"/>
    <tableColumn id="12" name="DICIEMBRE" dataDxfId="18"/>
    <tableColumn id="13" name="ANUAL" dataDxfId="17">
      <calculatedColumnFormula>SUM(Tabla241[[#This Row],[ENERO]:[DICIEMBRE]])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41" name="Tabla342" displayName="Tabla342" ref="C18:O30" totalsRowShown="0" headerRowDxfId="16">
  <autoFilter ref="C18:O30"/>
  <tableColumns count="13">
    <tableColumn id="3" name="MES 1" dataDxfId="15">
      <calculatedColumnFormula>SUBTOTAL(109,D10:D18)</calculatedColumnFormula>
    </tableColumn>
    <tableColumn id="1" name="MES 2" dataDxfId="14"/>
    <tableColumn id="2" name="MES 3"/>
    <tableColumn id="4" name="MES 4"/>
    <tableColumn id="5" name="MES 5"/>
    <tableColumn id="6" name="MES 6"/>
    <tableColumn id="7" name="MES 7"/>
    <tableColumn id="8" name="MES 8"/>
    <tableColumn id="9" name="MES 9"/>
    <tableColumn id="10" name="MES 10"/>
    <tableColumn id="11" name="MES 11"/>
    <tableColumn id="12" name="MES 12"/>
    <tableColumn id="13" name="ANUAL" dataDxfId="13">
      <calculatedColumnFormula>SUM(Tabla342[[#This Row],[MES 1]:[MES 12]])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42" name="Tabla443" displayName="Tabla443" ref="C32:O53" totalsRowShown="0">
  <autoFilter ref="C32:O53"/>
  <tableColumns count="13">
    <tableColumn id="3" name="MES 1" dataDxfId="12">
      <calculatedColumnFormula>SUBTOTAL(109,D16:D32)</calculatedColumnFormula>
    </tableColumn>
    <tableColumn id="1" name="MES 2" dataDxfId="11"/>
    <tableColumn id="2" name="MES 3" dataDxfId="10"/>
    <tableColumn id="4" name="MES 4" dataDxfId="9"/>
    <tableColumn id="5" name="MES 5" dataDxfId="8"/>
    <tableColumn id="6" name="MES 6" dataDxfId="7"/>
    <tableColumn id="7" name="MES 7" dataDxfId="6"/>
    <tableColumn id="8" name="MES 8" dataDxfId="5"/>
    <tableColumn id="9" name="MES 9" dataDxfId="4"/>
    <tableColumn id="10" name="MES 10" dataDxfId="3"/>
    <tableColumn id="11" name="MES 11" dataDxfId="2"/>
    <tableColumn id="12" name="MES 12" dataDxfId="1"/>
    <tableColumn id="13" name="ANUAL" dataDxfId="0">
      <calculatedColumnFormula>SUM(Tabla443[[#This Row],[MES 1]:[MES 12]])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60"/>
  <sheetViews>
    <sheetView topLeftCell="A17" zoomScaleNormal="100" workbookViewId="0">
      <selection activeCell="R25" sqref="R25"/>
    </sheetView>
  </sheetViews>
  <sheetFormatPr baseColWidth="10" defaultRowHeight="15" x14ac:dyDescent="0.25"/>
  <cols>
    <col min="2" max="2" width="37.85546875" bestFit="1" customWidth="1"/>
    <col min="3" max="3" width="16" bestFit="1" customWidth="1"/>
    <col min="4" max="4" width="17" bestFit="1" customWidth="1"/>
    <col min="5" max="5" width="14.7109375" bestFit="1" customWidth="1"/>
    <col min="6" max="6" width="17" bestFit="1" customWidth="1"/>
    <col min="7" max="7" width="18.5703125" bestFit="1" customWidth="1"/>
    <col min="8" max="11" width="17" bestFit="1" customWidth="1"/>
    <col min="12" max="12" width="13" bestFit="1" customWidth="1"/>
    <col min="13" max="13" width="14.140625" bestFit="1" customWidth="1"/>
    <col min="14" max="14" width="13" bestFit="1" customWidth="1"/>
    <col min="15" max="15" width="14" bestFit="1" customWidth="1"/>
    <col min="19" max="19" width="13.5703125" bestFit="1" customWidth="1"/>
    <col min="20" max="20" width="13" bestFit="1" customWidth="1"/>
  </cols>
  <sheetData>
    <row r="1" spans="2:15" ht="15.75" thickBot="1" x14ac:dyDescent="0.3">
      <c r="B1" s="50"/>
      <c r="C1" s="50"/>
      <c r="D1" s="50"/>
      <c r="E1" s="50"/>
      <c r="F1" s="50"/>
    </row>
    <row r="2" spans="2:15" ht="15.75" thickBot="1" x14ac:dyDescent="0.3">
      <c r="B2" s="72" t="s">
        <v>0</v>
      </c>
      <c r="C2" s="70" t="s">
        <v>104</v>
      </c>
      <c r="D2" t="s">
        <v>7</v>
      </c>
      <c r="E2" s="13" t="s">
        <v>106</v>
      </c>
      <c r="F2" s="13" t="s">
        <v>107</v>
      </c>
      <c r="G2" s="13" t="s">
        <v>108</v>
      </c>
      <c r="H2" t="s">
        <v>122</v>
      </c>
      <c r="I2" t="s">
        <v>125</v>
      </c>
      <c r="J2" t="s">
        <v>128</v>
      </c>
      <c r="K2" t="s">
        <v>126</v>
      </c>
      <c r="L2" t="s">
        <v>127</v>
      </c>
      <c r="M2" t="s">
        <v>133</v>
      </c>
      <c r="N2" t="s">
        <v>134</v>
      </c>
      <c r="O2" t="s">
        <v>141</v>
      </c>
    </row>
    <row r="3" spans="2:15" x14ac:dyDescent="0.25">
      <c r="B3" s="71" t="s">
        <v>4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>
        <f>SUM(Tabla241[[#This Row],[ENERO]:[DICIEMBRE]])</f>
        <v>0</v>
      </c>
    </row>
    <row r="4" spans="2:15" x14ac:dyDescent="0.25">
      <c r="B4" s="58" t="s">
        <v>23</v>
      </c>
      <c r="C4" s="60">
        <v>737717</v>
      </c>
      <c r="D4" s="60">
        <v>737717</v>
      </c>
      <c r="E4" s="60">
        <v>737717</v>
      </c>
      <c r="F4" s="60">
        <v>737717</v>
      </c>
      <c r="G4" s="60">
        <v>737717</v>
      </c>
      <c r="H4" s="60">
        <v>737717</v>
      </c>
      <c r="I4" s="60">
        <v>737717</v>
      </c>
      <c r="J4" s="60">
        <v>737717</v>
      </c>
      <c r="K4" s="60">
        <v>737717</v>
      </c>
      <c r="L4" s="60">
        <v>737717</v>
      </c>
      <c r="M4" s="60">
        <v>737717</v>
      </c>
      <c r="N4" s="60">
        <v>737717</v>
      </c>
      <c r="O4" s="60">
        <f>SUM(Tabla241[[#This Row],[ENERO]:[DICIEMBRE]])</f>
        <v>8852604</v>
      </c>
    </row>
    <row r="5" spans="2:15" x14ac:dyDescent="0.25">
      <c r="B5" s="58" t="s">
        <v>136</v>
      </c>
      <c r="C5" s="60">
        <v>200000</v>
      </c>
      <c r="D5" s="60">
        <v>200000</v>
      </c>
      <c r="E5" s="60">
        <v>200000</v>
      </c>
      <c r="F5" s="60">
        <v>200000</v>
      </c>
      <c r="G5" s="60">
        <v>200000</v>
      </c>
      <c r="H5" s="60">
        <v>200000</v>
      </c>
      <c r="I5" s="60">
        <v>200000</v>
      </c>
      <c r="J5" s="60">
        <v>200000</v>
      </c>
      <c r="K5" s="60">
        <v>200000</v>
      </c>
      <c r="L5" s="60">
        <v>200000</v>
      </c>
      <c r="M5" s="60">
        <v>200000</v>
      </c>
      <c r="N5" s="60">
        <v>200000</v>
      </c>
      <c r="O5" s="60">
        <f>SUM(Tabla241[[#This Row],[ENERO]:[DICIEMBRE]])</f>
        <v>2400000</v>
      </c>
    </row>
    <row r="6" spans="2:15" x14ac:dyDescent="0.25">
      <c r="B6" s="58" t="s">
        <v>124</v>
      </c>
      <c r="C6" s="60">
        <v>150000</v>
      </c>
      <c r="D6" s="60">
        <v>150000</v>
      </c>
      <c r="E6" s="60">
        <v>150000</v>
      </c>
      <c r="F6" s="60">
        <v>150000</v>
      </c>
      <c r="G6" s="60">
        <v>150000</v>
      </c>
      <c r="H6" s="60">
        <v>150000</v>
      </c>
      <c r="I6" s="60">
        <v>150000</v>
      </c>
      <c r="J6" s="60">
        <v>150000</v>
      </c>
      <c r="K6" s="60">
        <v>150000</v>
      </c>
      <c r="L6" s="60">
        <v>150000</v>
      </c>
      <c r="M6" s="60">
        <v>150000</v>
      </c>
      <c r="N6" s="60">
        <v>150000</v>
      </c>
      <c r="O6" s="60">
        <f>SUM(Tabla241[[#This Row],[ENERO]:[DICIEMBRE]])</f>
        <v>1800000</v>
      </c>
    </row>
    <row r="7" spans="2:15" x14ac:dyDescent="0.25">
      <c r="B7" s="58" t="s">
        <v>135</v>
      </c>
      <c r="C7" s="60">
        <v>500000</v>
      </c>
      <c r="D7" s="60">
        <v>500000</v>
      </c>
      <c r="E7" s="60">
        <v>500000</v>
      </c>
      <c r="F7" s="60">
        <v>500000</v>
      </c>
      <c r="G7" s="60">
        <v>500000</v>
      </c>
      <c r="H7" s="60">
        <v>500000</v>
      </c>
      <c r="I7" s="60">
        <v>500000</v>
      </c>
      <c r="J7" s="60">
        <v>500000</v>
      </c>
      <c r="K7" s="60">
        <v>500000</v>
      </c>
      <c r="L7" s="60">
        <v>500000</v>
      </c>
      <c r="M7" s="60">
        <v>500000</v>
      </c>
      <c r="N7" s="60">
        <v>500000</v>
      </c>
      <c r="O7" s="60">
        <f>SUM(Tabla241[[#This Row],[ENERO]:[DICIEMBRE]])</f>
        <v>6000000</v>
      </c>
    </row>
    <row r="8" spans="2:15" x14ac:dyDescent="0.25">
      <c r="B8" s="58" t="s">
        <v>123</v>
      </c>
      <c r="C8" s="60">
        <v>0</v>
      </c>
      <c r="D8" s="60">
        <v>0</v>
      </c>
      <c r="E8" s="60">
        <v>0</v>
      </c>
      <c r="F8" s="60">
        <v>0</v>
      </c>
      <c r="G8" s="60">
        <v>0</v>
      </c>
      <c r="H8" s="60">
        <v>2631503</v>
      </c>
      <c r="I8" s="60">
        <v>0</v>
      </c>
      <c r="J8" s="60">
        <v>0</v>
      </c>
      <c r="K8" s="60">
        <v>0</v>
      </c>
      <c r="L8" s="60">
        <v>0</v>
      </c>
      <c r="M8" s="60">
        <v>0</v>
      </c>
      <c r="N8" s="60">
        <v>2631503</v>
      </c>
      <c r="O8" s="60">
        <f>SUM(Tabla241[[#This Row],[ENERO]:[DICIEMBRE]])</f>
        <v>5263006</v>
      </c>
    </row>
    <row r="9" spans="2:15" x14ac:dyDescent="0.25">
      <c r="B9" s="58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</row>
    <row r="10" spans="2:15" x14ac:dyDescent="0.25">
      <c r="B10" s="58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</row>
    <row r="11" spans="2:15" x14ac:dyDescent="0.25">
      <c r="B11" s="58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</row>
    <row r="12" spans="2:15" x14ac:dyDescent="0.25">
      <c r="B12" s="58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</row>
    <row r="13" spans="2:15" x14ac:dyDescent="0.25">
      <c r="B13" s="58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</row>
    <row r="14" spans="2:15" x14ac:dyDescent="0.25">
      <c r="B14" s="58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</row>
    <row r="15" spans="2:15" ht="15.75" thickBot="1" x14ac:dyDescent="0.3">
      <c r="B15" s="59"/>
      <c r="C15" s="65"/>
      <c r="D15" s="68"/>
      <c r="E15" s="65"/>
      <c r="F15" s="65"/>
      <c r="G15" s="68"/>
      <c r="H15" s="68"/>
      <c r="I15" s="68"/>
      <c r="J15" s="68"/>
      <c r="K15" s="68"/>
      <c r="L15" s="68"/>
      <c r="M15" s="68"/>
      <c r="N15" s="68"/>
      <c r="O15" s="68"/>
    </row>
    <row r="16" spans="2:15" ht="15.75" thickBot="1" x14ac:dyDescent="0.3">
      <c r="B16" s="64" t="s">
        <v>2</v>
      </c>
      <c r="C16" s="66">
        <f>SUBTOTAL(109,C3:C15)</f>
        <v>1587717</v>
      </c>
      <c r="D16" s="66">
        <f>SUBTOTAL(109,D3:D15)</f>
        <v>1587717</v>
      </c>
      <c r="E16" s="66">
        <f t="shared" ref="E16:N16" si="0">SUM(E3:E15)</f>
        <v>1587717</v>
      </c>
      <c r="F16" s="69">
        <f t="shared" si="0"/>
        <v>1587717</v>
      </c>
      <c r="G16" s="66">
        <f t="shared" si="0"/>
        <v>1587717</v>
      </c>
      <c r="H16" s="66">
        <f t="shared" si="0"/>
        <v>4219220</v>
      </c>
      <c r="I16" s="66">
        <f t="shared" si="0"/>
        <v>1587717</v>
      </c>
      <c r="J16" s="66">
        <f t="shared" si="0"/>
        <v>1587717</v>
      </c>
      <c r="K16" s="66">
        <f t="shared" si="0"/>
        <v>1587717</v>
      </c>
      <c r="L16" s="66">
        <f t="shared" si="0"/>
        <v>1587717</v>
      </c>
      <c r="M16" s="66">
        <f t="shared" si="0"/>
        <v>1587717</v>
      </c>
      <c r="N16" s="66">
        <f t="shared" si="0"/>
        <v>4219220</v>
      </c>
      <c r="O16" s="66">
        <f>SUM(Tabla241[[#This Row],[ENERO]:[DICIEMBRE]])</f>
        <v>24315610</v>
      </c>
    </row>
    <row r="17" spans="2:15" ht="15.75" thickBot="1" x14ac:dyDescent="0.3">
      <c r="E17" s="13"/>
      <c r="F17" s="13"/>
      <c r="G17" s="13"/>
    </row>
    <row r="18" spans="2:15" ht="15.75" thickBot="1" x14ac:dyDescent="0.3">
      <c r="B18" s="72" t="s">
        <v>3</v>
      </c>
      <c r="C18" s="70" t="s">
        <v>47</v>
      </c>
      <c r="D18" s="51" t="s">
        <v>48</v>
      </c>
      <c r="E18" s="51" t="s">
        <v>49</v>
      </c>
      <c r="F18" s="51" t="s">
        <v>50</v>
      </c>
      <c r="G18" s="51" t="s">
        <v>51</v>
      </c>
      <c r="H18" s="51" t="s">
        <v>52</v>
      </c>
      <c r="I18" s="51" t="s">
        <v>53</v>
      </c>
      <c r="J18" s="51" t="s">
        <v>54</v>
      </c>
      <c r="K18" s="51" t="s">
        <v>55</v>
      </c>
      <c r="L18" s="52" t="s">
        <v>56</v>
      </c>
      <c r="M18" s="52" t="s">
        <v>57</v>
      </c>
      <c r="N18" s="52" t="s">
        <v>58</v>
      </c>
      <c r="O18" s="52" t="s">
        <v>141</v>
      </c>
    </row>
    <row r="19" spans="2:15" x14ac:dyDescent="0.25">
      <c r="B19" s="71" t="s">
        <v>4</v>
      </c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>
        <f>SUM(Tabla342[[#This Row],[MES 1]:[MES 12]])</f>
        <v>0</v>
      </c>
    </row>
    <row r="20" spans="2:15" x14ac:dyDescent="0.25">
      <c r="B20" s="58" t="s">
        <v>17</v>
      </c>
      <c r="C20" s="60">
        <v>600000</v>
      </c>
      <c r="D20" s="60">
        <v>600000</v>
      </c>
      <c r="E20" s="60">
        <v>600000</v>
      </c>
      <c r="F20" s="60">
        <v>600000</v>
      </c>
      <c r="G20" s="60">
        <v>600000</v>
      </c>
      <c r="H20" s="60">
        <v>600000</v>
      </c>
      <c r="I20" s="60">
        <v>600000</v>
      </c>
      <c r="J20" s="60">
        <v>600000</v>
      </c>
      <c r="K20" s="60">
        <v>600000</v>
      </c>
      <c r="L20" s="60">
        <v>600000</v>
      </c>
      <c r="M20" s="60">
        <v>600000</v>
      </c>
      <c r="N20" s="60">
        <v>600000</v>
      </c>
      <c r="O20" s="60">
        <f>SUM(Tabla342[[#This Row],[MES 1]:[MES 12]])</f>
        <v>7200000</v>
      </c>
    </row>
    <row r="21" spans="2:15" x14ac:dyDescent="0.25">
      <c r="B21" s="58" t="s">
        <v>18</v>
      </c>
      <c r="C21" s="60">
        <v>2490000</v>
      </c>
      <c r="D21" s="60">
        <v>2490000</v>
      </c>
      <c r="E21" s="60">
        <v>2490000</v>
      </c>
      <c r="F21" s="60">
        <v>2490000</v>
      </c>
      <c r="G21" s="60">
        <v>2490000</v>
      </c>
      <c r="H21" s="60">
        <v>2490000</v>
      </c>
      <c r="I21" s="60">
        <v>2490000</v>
      </c>
      <c r="J21" s="60">
        <v>2490000</v>
      </c>
      <c r="K21" s="60">
        <v>2490000</v>
      </c>
      <c r="L21" s="60">
        <v>2490000</v>
      </c>
      <c r="M21" s="60">
        <v>2490000</v>
      </c>
      <c r="N21" s="60">
        <v>3000000</v>
      </c>
      <c r="O21" s="60">
        <f>SUM(Tabla342[[#This Row],[MES 1]:[MES 12]])</f>
        <v>30390000</v>
      </c>
    </row>
    <row r="22" spans="2:15" x14ac:dyDescent="0.25">
      <c r="B22" s="58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</row>
    <row r="23" spans="2:15" x14ac:dyDescent="0.25">
      <c r="B23" s="58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</row>
    <row r="24" spans="2:15" x14ac:dyDescent="0.25">
      <c r="B24" s="58" t="s">
        <v>1</v>
      </c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</row>
    <row r="25" spans="2:15" x14ac:dyDescent="0.25">
      <c r="B25" s="58" t="s">
        <v>16</v>
      </c>
      <c r="C25" s="60">
        <v>100000</v>
      </c>
      <c r="D25" s="60">
        <v>100000</v>
      </c>
      <c r="E25" s="60">
        <v>100000</v>
      </c>
      <c r="F25" s="60">
        <v>100000</v>
      </c>
      <c r="G25" s="60">
        <v>100000</v>
      </c>
      <c r="H25" s="60">
        <v>100000</v>
      </c>
      <c r="I25" s="60">
        <v>100000</v>
      </c>
      <c r="J25" s="60">
        <v>100000</v>
      </c>
      <c r="K25" s="60">
        <v>100000</v>
      </c>
      <c r="L25" s="60">
        <v>100000</v>
      </c>
      <c r="M25" s="60">
        <v>100000</v>
      </c>
      <c r="N25" s="60">
        <v>100000</v>
      </c>
      <c r="O25" s="60">
        <f>SUM(Tabla342[[#This Row],[MES 1]:[MES 12]])</f>
        <v>1200000</v>
      </c>
    </row>
    <row r="26" spans="2:15" x14ac:dyDescent="0.25">
      <c r="B26" s="58" t="s">
        <v>24</v>
      </c>
      <c r="C26" s="60">
        <f>(1600000)/12</f>
        <v>133333.33333333334</v>
      </c>
      <c r="D26" s="60">
        <f t="shared" ref="D26:N26" si="1">(1600000)/12</f>
        <v>133333.33333333334</v>
      </c>
      <c r="E26" s="60">
        <f t="shared" si="1"/>
        <v>133333.33333333334</v>
      </c>
      <c r="F26" s="60">
        <f t="shared" si="1"/>
        <v>133333.33333333334</v>
      </c>
      <c r="G26" s="60">
        <f t="shared" si="1"/>
        <v>133333.33333333334</v>
      </c>
      <c r="H26" s="60">
        <f t="shared" si="1"/>
        <v>133333.33333333334</v>
      </c>
      <c r="I26" s="60">
        <f t="shared" si="1"/>
        <v>133333.33333333334</v>
      </c>
      <c r="J26" s="60">
        <f t="shared" si="1"/>
        <v>133333.33333333334</v>
      </c>
      <c r="K26" s="60">
        <f t="shared" si="1"/>
        <v>133333.33333333334</v>
      </c>
      <c r="L26" s="60">
        <f t="shared" si="1"/>
        <v>133333.33333333334</v>
      </c>
      <c r="M26" s="60">
        <f t="shared" si="1"/>
        <v>133333.33333333334</v>
      </c>
      <c r="N26" s="60">
        <f t="shared" si="1"/>
        <v>133333.33333333334</v>
      </c>
      <c r="O26" s="60">
        <f>SUM(Tabla342[[#This Row],[MES 1]:[MES 12]])</f>
        <v>1599999.9999999998</v>
      </c>
    </row>
    <row r="27" spans="2:15" x14ac:dyDescent="0.25">
      <c r="B27" s="58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</row>
    <row r="28" spans="2:15" x14ac:dyDescent="0.25">
      <c r="B28" s="58"/>
      <c r="C28" s="61"/>
      <c r="D28" s="60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0"/>
    </row>
    <row r="29" spans="2:15" ht="15.75" thickBot="1" x14ac:dyDescent="0.3">
      <c r="B29" s="51"/>
      <c r="C29" s="52"/>
      <c r="D29" s="53"/>
      <c r="O29" s="4"/>
    </row>
    <row r="30" spans="2:15" ht="15.75" thickBot="1" x14ac:dyDescent="0.3">
      <c r="B30" s="54" t="s">
        <v>2</v>
      </c>
      <c r="C30" s="55">
        <f>SUBTOTAL(109,C19:C29)</f>
        <v>3323333.3333333335</v>
      </c>
      <c r="D30" s="57">
        <f>SUBTOTAL(109,D19:D29)</f>
        <v>3323333.3333333335</v>
      </c>
      <c r="E30" s="66">
        <f>SUBTOTAL(109,E20:E29)</f>
        <v>3323333.3333333335</v>
      </c>
      <c r="F30" s="69">
        <f t="shared" ref="F30:N30" si="2">SUM(F19:F29)</f>
        <v>3323333.3333333335</v>
      </c>
      <c r="G30" s="66">
        <f t="shared" si="2"/>
        <v>3323333.3333333335</v>
      </c>
      <c r="H30" s="66">
        <f t="shared" si="2"/>
        <v>3323333.3333333335</v>
      </c>
      <c r="I30" s="66">
        <f t="shared" si="2"/>
        <v>3323333.3333333335</v>
      </c>
      <c r="J30" s="66">
        <f t="shared" si="2"/>
        <v>3323333.3333333335</v>
      </c>
      <c r="K30" s="66">
        <f t="shared" si="2"/>
        <v>3323333.3333333335</v>
      </c>
      <c r="L30" s="66">
        <f t="shared" si="2"/>
        <v>3323333.3333333335</v>
      </c>
      <c r="M30" s="66">
        <f t="shared" si="2"/>
        <v>3323333.3333333335</v>
      </c>
      <c r="N30" s="66">
        <f t="shared" si="2"/>
        <v>3833333.3333333335</v>
      </c>
      <c r="O30" s="66">
        <f>SUM(Tabla342[[#This Row],[MES 1]:[MES 12]])</f>
        <v>40390000</v>
      </c>
    </row>
    <row r="31" spans="2:15" ht="15.75" thickBot="1" x14ac:dyDescent="0.3">
      <c r="E31" s="13"/>
      <c r="F31" s="13"/>
      <c r="G31" s="13"/>
    </row>
    <row r="32" spans="2:15" ht="15.75" thickBot="1" x14ac:dyDescent="0.3">
      <c r="B32" s="72" t="s">
        <v>5</v>
      </c>
      <c r="C32" t="s">
        <v>47</v>
      </c>
      <c r="D32" t="s">
        <v>48</v>
      </c>
      <c r="E32" t="s">
        <v>49</v>
      </c>
      <c r="F32" t="s">
        <v>50</v>
      </c>
      <c r="G32" t="s">
        <v>51</v>
      </c>
      <c r="H32" t="s">
        <v>52</v>
      </c>
      <c r="I32" t="s">
        <v>53</v>
      </c>
      <c r="J32" t="s">
        <v>54</v>
      </c>
      <c r="K32" t="s">
        <v>55</v>
      </c>
      <c r="L32" t="s">
        <v>56</v>
      </c>
      <c r="M32" t="s">
        <v>57</v>
      </c>
      <c r="N32" t="s">
        <v>58</v>
      </c>
      <c r="O32" t="s">
        <v>141</v>
      </c>
    </row>
    <row r="33" spans="2:20" x14ac:dyDescent="0.25">
      <c r="B33" s="71" t="s">
        <v>4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>
        <f>SUM(Tabla443[[#This Row],[MES 1]:[MES 12]])</f>
        <v>0</v>
      </c>
    </row>
    <row r="34" spans="2:20" x14ac:dyDescent="0.25">
      <c r="B34" s="58" t="s">
        <v>8</v>
      </c>
      <c r="C34" s="60">
        <v>1500000</v>
      </c>
      <c r="D34" s="60">
        <v>1500000</v>
      </c>
      <c r="E34" s="60">
        <v>1500000</v>
      </c>
      <c r="F34" s="60">
        <v>1500000</v>
      </c>
      <c r="G34" s="60">
        <v>1500000</v>
      </c>
      <c r="H34" s="60">
        <v>1500000</v>
      </c>
      <c r="I34" s="60">
        <v>1500000</v>
      </c>
      <c r="J34" s="60">
        <v>1500000</v>
      </c>
      <c r="K34" s="60">
        <v>1500000</v>
      </c>
      <c r="L34" s="60">
        <v>1500000</v>
      </c>
      <c r="M34" s="60">
        <v>1500000</v>
      </c>
      <c r="N34" s="60">
        <v>1500000</v>
      </c>
      <c r="O34" s="60">
        <f>SUM(Tabla443[[#This Row],[MES 1]:[MES 12]])</f>
        <v>18000000</v>
      </c>
    </row>
    <row r="35" spans="2:20" x14ac:dyDescent="0.25">
      <c r="B35" s="58" t="s">
        <v>12</v>
      </c>
      <c r="C35" s="60">
        <v>800000</v>
      </c>
      <c r="D35" s="60">
        <v>800000</v>
      </c>
      <c r="E35" s="60">
        <v>800000</v>
      </c>
      <c r="F35" s="60">
        <v>800000</v>
      </c>
      <c r="G35" s="60">
        <v>800000</v>
      </c>
      <c r="H35" s="60">
        <v>800000</v>
      </c>
      <c r="I35" s="60">
        <v>800000</v>
      </c>
      <c r="J35" s="60">
        <v>800000</v>
      </c>
      <c r="K35" s="60">
        <v>800000</v>
      </c>
      <c r="L35" s="60">
        <v>800000</v>
      </c>
      <c r="M35" s="60">
        <v>800000</v>
      </c>
      <c r="N35" s="60">
        <v>800000</v>
      </c>
      <c r="O35" s="60">
        <f>SUM(Tabla443[[#This Row],[MES 1]:[MES 12]])</f>
        <v>9600000</v>
      </c>
    </row>
    <row r="36" spans="2:20" x14ac:dyDescent="0.25">
      <c r="B36" s="58" t="s">
        <v>143</v>
      </c>
      <c r="C36" s="60">
        <v>100000</v>
      </c>
      <c r="D36" s="60">
        <v>100000</v>
      </c>
      <c r="E36" s="60">
        <v>100000</v>
      </c>
      <c r="F36" s="60">
        <v>100000</v>
      </c>
      <c r="G36" s="60">
        <v>100000</v>
      </c>
      <c r="H36" s="60">
        <v>100000</v>
      </c>
      <c r="I36" s="60">
        <v>100000</v>
      </c>
      <c r="J36" s="60">
        <v>100000</v>
      </c>
      <c r="K36" s="60">
        <v>100000</v>
      </c>
      <c r="L36" s="60">
        <v>100000</v>
      </c>
      <c r="M36" s="60">
        <v>100000</v>
      </c>
      <c r="N36" s="60">
        <v>100000</v>
      </c>
      <c r="O36" s="60">
        <f>SUM(Tabla443[[#This Row],[MES 1]:[MES 12]])</f>
        <v>1200000</v>
      </c>
    </row>
    <row r="37" spans="2:20" x14ac:dyDescent="0.25">
      <c r="B37" s="58" t="s">
        <v>13</v>
      </c>
      <c r="C37" s="60">
        <v>800000</v>
      </c>
      <c r="D37" s="60">
        <v>800000</v>
      </c>
      <c r="E37" s="60">
        <v>800000</v>
      </c>
      <c r="F37" s="60">
        <v>800000</v>
      </c>
      <c r="G37" s="60">
        <v>800000</v>
      </c>
      <c r="H37" s="60">
        <v>800000</v>
      </c>
      <c r="I37" s="60">
        <v>800000</v>
      </c>
      <c r="J37" s="60">
        <v>800000</v>
      </c>
      <c r="K37" s="60">
        <v>800000</v>
      </c>
      <c r="L37" s="60">
        <v>800000</v>
      </c>
      <c r="M37" s="60">
        <v>800000</v>
      </c>
      <c r="N37" s="60">
        <v>800000</v>
      </c>
      <c r="O37" s="60">
        <f>SUM(Tabla443[[#This Row],[MES 1]:[MES 12]])</f>
        <v>9600000</v>
      </c>
    </row>
    <row r="38" spans="2:20" x14ac:dyDescent="0.25">
      <c r="B38" s="58" t="s">
        <v>15</v>
      </c>
      <c r="C38" s="60">
        <v>120000</v>
      </c>
      <c r="D38" s="60">
        <v>120000</v>
      </c>
      <c r="E38" s="60">
        <v>120000</v>
      </c>
      <c r="F38" s="60">
        <v>120000</v>
      </c>
      <c r="G38" s="60">
        <v>120000</v>
      </c>
      <c r="H38" s="60">
        <v>120000</v>
      </c>
      <c r="I38" s="60">
        <v>120000</v>
      </c>
      <c r="J38" s="60">
        <v>120000</v>
      </c>
      <c r="K38" s="60">
        <v>120000</v>
      </c>
      <c r="L38" s="60">
        <v>120000</v>
      </c>
      <c r="M38" s="60">
        <v>120000</v>
      </c>
      <c r="N38" s="60">
        <v>120000</v>
      </c>
      <c r="O38" s="60">
        <f>SUM(Tabla443[[#This Row],[MES 1]:[MES 12]])</f>
        <v>1440000</v>
      </c>
      <c r="S38" t="s">
        <v>38</v>
      </c>
      <c r="T38" s="4">
        <f>SUM((C4),(C7),(C20:C21),(C34:C41))</f>
        <v>8847717</v>
      </c>
    </row>
    <row r="39" spans="2:20" x14ac:dyDescent="0.25">
      <c r="B39" s="58" t="s">
        <v>21</v>
      </c>
      <c r="C39" s="60">
        <v>200000</v>
      </c>
      <c r="D39" s="60">
        <v>200000</v>
      </c>
      <c r="E39" s="60">
        <v>200000</v>
      </c>
      <c r="F39" s="60">
        <v>200000</v>
      </c>
      <c r="G39" s="60">
        <v>200000</v>
      </c>
      <c r="H39" s="60">
        <v>200000</v>
      </c>
      <c r="I39" s="60">
        <v>200000</v>
      </c>
      <c r="J39" s="60">
        <v>200000</v>
      </c>
      <c r="K39" s="60">
        <v>200000</v>
      </c>
      <c r="L39" s="60">
        <v>200000</v>
      </c>
      <c r="M39" s="60">
        <v>200000</v>
      </c>
      <c r="N39" s="60">
        <v>200000</v>
      </c>
      <c r="O39" s="60">
        <f>SUM(Tabla443[[#This Row],[MES 1]:[MES 12]])</f>
        <v>2400000</v>
      </c>
      <c r="S39" t="s">
        <v>39</v>
      </c>
      <c r="T39" s="4">
        <f>SUM((G46:G50),(C25),(G26),(C44:C45))</f>
        <v>908333.33333333337</v>
      </c>
    </row>
    <row r="40" spans="2:20" x14ac:dyDescent="0.25">
      <c r="B40" s="58" t="s">
        <v>22</v>
      </c>
      <c r="C40" s="60">
        <v>400000</v>
      </c>
      <c r="D40" s="60">
        <v>400000</v>
      </c>
      <c r="E40" s="60">
        <v>400000</v>
      </c>
      <c r="F40" s="60">
        <v>400000</v>
      </c>
      <c r="G40" s="60">
        <v>400000</v>
      </c>
      <c r="H40" s="60">
        <v>400000</v>
      </c>
      <c r="I40" s="60">
        <v>400000</v>
      </c>
      <c r="J40" s="60">
        <v>400000</v>
      </c>
      <c r="K40" s="60">
        <v>400000</v>
      </c>
      <c r="L40" s="60">
        <v>400000</v>
      </c>
      <c r="M40" s="60">
        <v>400000</v>
      </c>
      <c r="N40" s="60">
        <v>400000</v>
      </c>
      <c r="O40" s="60">
        <f>SUM(Tabla443[[#This Row],[MES 1]:[MES 12]])</f>
        <v>4800000</v>
      </c>
    </row>
    <row r="41" spans="2:20" x14ac:dyDescent="0.25">
      <c r="B41" s="58" t="s">
        <v>140</v>
      </c>
      <c r="C41" s="60">
        <v>600000</v>
      </c>
      <c r="D41" s="60">
        <v>600000</v>
      </c>
      <c r="E41" s="60">
        <v>600000</v>
      </c>
      <c r="F41" s="60">
        <v>600000</v>
      </c>
      <c r="G41" s="60">
        <v>600000</v>
      </c>
      <c r="H41" s="60">
        <v>600000</v>
      </c>
      <c r="I41" s="60">
        <v>600000</v>
      </c>
      <c r="J41" s="60">
        <v>600000</v>
      </c>
      <c r="K41" s="60">
        <v>600000</v>
      </c>
      <c r="L41" s="60">
        <v>600000</v>
      </c>
      <c r="M41" s="60">
        <v>600000</v>
      </c>
      <c r="N41" s="60">
        <v>600000</v>
      </c>
      <c r="O41" s="60">
        <f>SUM(Tabla443[[#This Row],[MES 1]:[MES 12]])</f>
        <v>7200000</v>
      </c>
    </row>
    <row r="42" spans="2:20" x14ac:dyDescent="0.25">
      <c r="B42" s="58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</row>
    <row r="43" spans="2:20" x14ac:dyDescent="0.25">
      <c r="B43" s="58" t="s">
        <v>1</v>
      </c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</row>
    <row r="44" spans="2:20" x14ac:dyDescent="0.25">
      <c r="B44" s="58" t="s">
        <v>10</v>
      </c>
      <c r="C44" s="60">
        <v>100000</v>
      </c>
      <c r="D44" s="60">
        <v>100000</v>
      </c>
      <c r="E44" s="60">
        <v>100000</v>
      </c>
      <c r="F44" s="60">
        <v>0</v>
      </c>
      <c r="G44" s="60">
        <v>0</v>
      </c>
      <c r="H44" s="60">
        <v>0</v>
      </c>
      <c r="I44" s="60">
        <v>0</v>
      </c>
      <c r="J44" s="60">
        <v>0</v>
      </c>
      <c r="K44" s="60">
        <v>0</v>
      </c>
      <c r="L44" s="60">
        <v>0</v>
      </c>
      <c r="M44" s="60">
        <v>0</v>
      </c>
      <c r="N44" s="60">
        <v>100000</v>
      </c>
      <c r="O44" s="60">
        <f>SUM(Tabla443[[#This Row],[MES 1]:[MES 12]])</f>
        <v>400000</v>
      </c>
    </row>
    <row r="45" spans="2:20" x14ac:dyDescent="0.25">
      <c r="B45" s="58" t="s">
        <v>11</v>
      </c>
      <c r="C45" s="60">
        <v>30000</v>
      </c>
      <c r="D45" s="60">
        <v>30000</v>
      </c>
      <c r="E45" s="60">
        <v>30000</v>
      </c>
      <c r="F45" s="60">
        <v>0</v>
      </c>
      <c r="G45" s="60">
        <v>0</v>
      </c>
      <c r="H45" s="60">
        <v>0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30000</v>
      </c>
      <c r="O45" s="60">
        <f>SUM(Tabla443[[#This Row],[MES 1]:[MES 12]])</f>
        <v>120000</v>
      </c>
    </row>
    <row r="46" spans="2:20" x14ac:dyDescent="0.25">
      <c r="B46" s="58" t="s">
        <v>14</v>
      </c>
      <c r="C46" s="60">
        <v>300000</v>
      </c>
      <c r="D46" s="60">
        <v>300000</v>
      </c>
      <c r="E46" s="60">
        <v>300000</v>
      </c>
      <c r="F46" s="60">
        <v>300000</v>
      </c>
      <c r="G46" s="60">
        <v>300000</v>
      </c>
      <c r="H46" s="60">
        <v>300000</v>
      </c>
      <c r="I46" s="60">
        <v>300000</v>
      </c>
      <c r="J46" s="60">
        <v>300000</v>
      </c>
      <c r="K46" s="60">
        <v>300000</v>
      </c>
      <c r="L46" s="60">
        <v>300000</v>
      </c>
      <c r="M46" s="60">
        <v>300000</v>
      </c>
      <c r="N46" s="60">
        <v>300000</v>
      </c>
      <c r="O46" s="60">
        <f>SUM(Tabla443[[#This Row],[MES 1]:[MES 12]])</f>
        <v>3600000</v>
      </c>
    </row>
    <row r="47" spans="2:20" x14ac:dyDescent="0.25">
      <c r="B47" s="58" t="s">
        <v>25</v>
      </c>
      <c r="C47" s="60">
        <v>30000</v>
      </c>
      <c r="D47" s="60">
        <v>30000</v>
      </c>
      <c r="E47" s="60">
        <v>30000</v>
      </c>
      <c r="F47" s="60">
        <v>30000</v>
      </c>
      <c r="G47" s="60">
        <v>30000</v>
      </c>
      <c r="H47" s="60">
        <v>30000</v>
      </c>
      <c r="I47" s="60">
        <v>30000</v>
      </c>
      <c r="J47" s="60">
        <v>30000</v>
      </c>
      <c r="K47" s="60">
        <v>30000</v>
      </c>
      <c r="L47" s="60">
        <v>30000</v>
      </c>
      <c r="M47" s="60">
        <v>30000</v>
      </c>
      <c r="N47" s="60">
        <v>30000</v>
      </c>
      <c r="O47" s="60">
        <f>SUM(Tabla443[[#This Row],[MES 1]:[MES 12]])</f>
        <v>360000</v>
      </c>
    </row>
    <row r="48" spans="2:20" x14ac:dyDescent="0.25">
      <c r="B48" s="58" t="s">
        <v>19</v>
      </c>
      <c r="C48" s="60">
        <v>130000</v>
      </c>
      <c r="D48" s="60">
        <v>130000</v>
      </c>
      <c r="E48" s="60">
        <v>130000</v>
      </c>
      <c r="F48" s="60">
        <v>130000</v>
      </c>
      <c r="G48" s="60">
        <v>130000</v>
      </c>
      <c r="H48" s="60">
        <v>130000</v>
      </c>
      <c r="I48" s="60">
        <v>130000</v>
      </c>
      <c r="J48" s="60">
        <v>130000</v>
      </c>
      <c r="K48" s="60">
        <v>130000</v>
      </c>
      <c r="L48" s="60">
        <v>130000</v>
      </c>
      <c r="M48" s="60">
        <v>130000</v>
      </c>
      <c r="N48" s="60">
        <v>130000</v>
      </c>
      <c r="O48" s="60">
        <f>SUM(Tabla443[[#This Row],[MES 1]:[MES 12]])</f>
        <v>1560000</v>
      </c>
    </row>
    <row r="49" spans="2:15" x14ac:dyDescent="0.25">
      <c r="B49" s="58" t="s">
        <v>20</v>
      </c>
      <c r="C49" s="60">
        <v>25000</v>
      </c>
      <c r="D49" s="60">
        <v>25000</v>
      </c>
      <c r="E49" s="60">
        <v>25000</v>
      </c>
      <c r="F49" s="60">
        <v>25000</v>
      </c>
      <c r="G49" s="60">
        <v>25000</v>
      </c>
      <c r="H49" s="60">
        <v>25000</v>
      </c>
      <c r="I49" s="60">
        <v>25000</v>
      </c>
      <c r="J49" s="60">
        <v>25000</v>
      </c>
      <c r="K49" s="60">
        <v>25000</v>
      </c>
      <c r="L49" s="60">
        <v>25000</v>
      </c>
      <c r="M49" s="60">
        <v>25000</v>
      </c>
      <c r="N49" s="60">
        <v>25000</v>
      </c>
      <c r="O49" s="60">
        <f>SUM(Tabla443[[#This Row],[MES 1]:[MES 12]])</f>
        <v>300000</v>
      </c>
    </row>
    <row r="50" spans="2:15" x14ac:dyDescent="0.25">
      <c r="B50" s="58" t="s">
        <v>9</v>
      </c>
      <c r="C50" s="60">
        <v>60000</v>
      </c>
      <c r="D50" s="60">
        <v>60000</v>
      </c>
      <c r="E50" s="60">
        <v>60000</v>
      </c>
      <c r="F50" s="60">
        <v>60000</v>
      </c>
      <c r="G50" s="60">
        <v>60000</v>
      </c>
      <c r="H50" s="60">
        <v>60000</v>
      </c>
      <c r="I50" s="60">
        <v>60000</v>
      </c>
      <c r="J50" s="60">
        <v>60000</v>
      </c>
      <c r="K50" s="60">
        <v>60000</v>
      </c>
      <c r="L50" s="60">
        <v>60000</v>
      </c>
      <c r="M50" s="60">
        <v>60000</v>
      </c>
      <c r="N50" s="60">
        <v>60000</v>
      </c>
      <c r="O50" s="60">
        <f>SUM(Tabla443[[#This Row],[MES 1]:[MES 12]])</f>
        <v>720000</v>
      </c>
    </row>
    <row r="51" spans="2:15" x14ac:dyDescent="0.25">
      <c r="B51" s="58" t="s">
        <v>105</v>
      </c>
      <c r="C51" s="63">
        <v>1348928</v>
      </c>
      <c r="D51" s="60">
        <v>1348928</v>
      </c>
      <c r="E51" s="60">
        <v>1348928</v>
      </c>
      <c r="F51" s="60">
        <v>1348928</v>
      </c>
      <c r="G51" s="60">
        <v>1348928</v>
      </c>
      <c r="H51" s="60">
        <v>1348928</v>
      </c>
      <c r="I51" s="60">
        <v>1348928</v>
      </c>
      <c r="J51" s="60">
        <v>1348928</v>
      </c>
      <c r="K51" s="60">
        <v>1348928</v>
      </c>
      <c r="L51" s="60">
        <v>1348928</v>
      </c>
      <c r="M51" s="60">
        <v>1348928</v>
      </c>
      <c r="N51" s="63">
        <v>1348928</v>
      </c>
      <c r="O51" s="60">
        <f>SUM(Tabla443[[#This Row],[MES 1]:[MES 12]])</f>
        <v>16187136</v>
      </c>
    </row>
    <row r="52" spans="2:15" ht="15.75" thickBot="1" x14ac:dyDescent="0.3">
      <c r="B52" s="62"/>
      <c r="C52" s="65"/>
      <c r="D52" s="67"/>
      <c r="E52" s="68"/>
      <c r="F52" s="67"/>
      <c r="G52" s="68"/>
      <c r="H52" s="68"/>
      <c r="I52" s="68"/>
      <c r="J52" s="68"/>
      <c r="K52" s="68"/>
      <c r="L52" s="68"/>
      <c r="M52" s="68"/>
      <c r="N52" s="65"/>
      <c r="O52" s="68"/>
    </row>
    <row r="53" spans="2:15" ht="15.75" thickBot="1" x14ac:dyDescent="0.3">
      <c r="B53" s="64" t="s">
        <v>2</v>
      </c>
      <c r="C53" s="66">
        <f>SUBTOTAL(109,C34:C52)</f>
        <v>6543928</v>
      </c>
      <c r="D53" s="66">
        <f>SUBTOTAL(109,D33:D52)</f>
        <v>6543928</v>
      </c>
      <c r="E53" s="66">
        <f t="shared" ref="E53:K53" si="3">SUM(E33:E52)</f>
        <v>6543928</v>
      </c>
      <c r="F53" s="69">
        <f t="shared" si="3"/>
        <v>6413928</v>
      </c>
      <c r="G53" s="66">
        <f t="shared" si="3"/>
        <v>6413928</v>
      </c>
      <c r="H53" s="66">
        <f t="shared" si="3"/>
        <v>6413928</v>
      </c>
      <c r="I53" s="66">
        <f t="shared" si="3"/>
        <v>6413928</v>
      </c>
      <c r="J53" s="66">
        <f t="shared" si="3"/>
        <v>6413928</v>
      </c>
      <c r="K53" s="66">
        <f t="shared" si="3"/>
        <v>6413928</v>
      </c>
      <c r="L53" s="66">
        <f>SUBTOTAL(109,L33:L51)</f>
        <v>6413928</v>
      </c>
      <c r="M53" s="66">
        <f>SUM(M33:M52)</f>
        <v>6413928</v>
      </c>
      <c r="N53" s="66">
        <f>SUM(N33:N52)</f>
        <v>6543928</v>
      </c>
      <c r="O53" s="66">
        <f>SUM(Tabla443[[#This Row],[MES 1]:[MES 12]])</f>
        <v>77487136</v>
      </c>
    </row>
    <row r="54" spans="2:15" ht="15.75" thickBot="1" x14ac:dyDescent="0.3">
      <c r="C54" s="4"/>
      <c r="E54" s="49"/>
      <c r="F54" s="13"/>
      <c r="G54" s="13"/>
    </row>
    <row r="55" spans="2:15" ht="15.75" thickBot="1" x14ac:dyDescent="0.3">
      <c r="B55" s="54" t="s">
        <v>6</v>
      </c>
      <c r="C55" s="55">
        <f>SUM(C16,C30,C53)</f>
        <v>11454978.333333334</v>
      </c>
      <c r="D55" s="55">
        <f t="shared" ref="D55:N55" si="4">+D53+D30+D16</f>
        <v>11454978.333333334</v>
      </c>
      <c r="E55" s="55">
        <f t="shared" si="4"/>
        <v>11454978.333333334</v>
      </c>
      <c r="F55" s="55">
        <f t="shared" si="4"/>
        <v>11324978.333333334</v>
      </c>
      <c r="G55" s="55">
        <f t="shared" si="4"/>
        <v>11324978.333333334</v>
      </c>
      <c r="H55" s="55">
        <f t="shared" si="4"/>
        <v>13956481.333333334</v>
      </c>
      <c r="I55" s="55">
        <f t="shared" si="4"/>
        <v>11324978.333333334</v>
      </c>
      <c r="J55" s="55">
        <f t="shared" si="4"/>
        <v>11324978.333333334</v>
      </c>
      <c r="K55" s="55">
        <f t="shared" si="4"/>
        <v>11324978.333333334</v>
      </c>
      <c r="L55" s="55">
        <f t="shared" si="4"/>
        <v>11324978.333333334</v>
      </c>
      <c r="M55" s="55">
        <f t="shared" si="4"/>
        <v>11324978.333333334</v>
      </c>
      <c r="N55" s="55">
        <f t="shared" si="4"/>
        <v>14596481.333333334</v>
      </c>
      <c r="O55" s="56">
        <f>SUM(D55:N55)</f>
        <v>130737767.66666664</v>
      </c>
    </row>
    <row r="56" spans="2:15" x14ac:dyDescent="0.25">
      <c r="E56" s="13"/>
      <c r="F56" s="13"/>
      <c r="G56" s="13"/>
    </row>
    <row r="57" spans="2:15" x14ac:dyDescent="0.25">
      <c r="C57" s="4">
        <v>2520000</v>
      </c>
      <c r="D57" s="4">
        <v>2520000</v>
      </c>
      <c r="E57" s="4">
        <v>2520000</v>
      </c>
      <c r="F57" s="4">
        <v>2520000</v>
      </c>
      <c r="G57" s="4">
        <v>2520000</v>
      </c>
      <c r="H57" s="4">
        <v>2520000</v>
      </c>
      <c r="I57" s="4">
        <v>2520000</v>
      </c>
      <c r="J57" s="4">
        <v>2520000</v>
      </c>
      <c r="K57" s="4">
        <v>2520000</v>
      </c>
      <c r="L57" s="4">
        <v>2520000</v>
      </c>
      <c r="M57" s="4">
        <v>2520000</v>
      </c>
      <c r="N57" s="4">
        <v>2520000</v>
      </c>
    </row>
    <row r="58" spans="2:15" x14ac:dyDescent="0.25">
      <c r="E58" s="13"/>
      <c r="F58" s="13"/>
      <c r="G58" s="13"/>
    </row>
    <row r="59" spans="2:15" x14ac:dyDescent="0.25">
      <c r="E59" s="13"/>
      <c r="F59" s="13"/>
      <c r="G59" s="13"/>
    </row>
    <row r="60" spans="2:15" x14ac:dyDescent="0.25">
      <c r="E60" s="13"/>
      <c r="F60" s="13"/>
      <c r="G60" s="13"/>
    </row>
  </sheetData>
  <pageMargins left="0.7" right="0.7" top="0.75" bottom="0.75" header="0.3" footer="0.3"/>
  <pageSetup orientation="portrait" r:id="rId1"/>
  <ignoredErrors>
    <ignoredError sqref="C20:C25 C36:C37 C27:C30 C54:C55 C34:C35 C40 C39:O39 O26 C41:C52" calculatedColumn="1"/>
  </ignoredErrors>
  <tableParts count="3"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0"/>
  <sheetViews>
    <sheetView tabSelected="1" zoomScale="130" zoomScaleNormal="130" workbookViewId="0">
      <selection activeCell="I19" sqref="I19"/>
    </sheetView>
  </sheetViews>
  <sheetFormatPr baseColWidth="10" defaultRowHeight="15" x14ac:dyDescent="0.25"/>
  <cols>
    <col min="2" max="2" width="15.140625" bestFit="1" customWidth="1"/>
    <col min="3" max="3" width="12" bestFit="1" customWidth="1"/>
    <col min="4" max="4" width="12.28515625" bestFit="1" customWidth="1"/>
    <col min="6" max="7" width="12.7109375" bestFit="1" customWidth="1"/>
    <col min="8" max="8" width="12" bestFit="1" customWidth="1"/>
    <col min="9" max="9" width="12.7109375" bestFit="1" customWidth="1"/>
  </cols>
  <sheetData>
    <row r="2" spans="1:9" x14ac:dyDescent="0.25">
      <c r="A2" t="s">
        <v>35</v>
      </c>
      <c r="E2" s="90" t="s">
        <v>101</v>
      </c>
      <c r="F2" s="90"/>
    </row>
    <row r="4" spans="1:9" x14ac:dyDescent="0.25">
      <c r="A4" s="5" t="s">
        <v>26</v>
      </c>
    </row>
    <row r="5" spans="1:9" x14ac:dyDescent="0.25">
      <c r="A5" s="2" t="s">
        <v>27</v>
      </c>
    </row>
    <row r="6" spans="1:9" x14ac:dyDescent="0.25">
      <c r="B6" t="s">
        <v>28</v>
      </c>
      <c r="C6" t="s">
        <v>29</v>
      </c>
      <c r="D6" s="6" t="s">
        <v>30</v>
      </c>
    </row>
    <row r="7" spans="1:9" x14ac:dyDescent="0.25">
      <c r="A7" t="s">
        <v>31</v>
      </c>
      <c r="B7" s="8">
        <f>(PRESUPUESTO!T38/12)</f>
        <v>737309.75</v>
      </c>
      <c r="C7" s="8">
        <f>PRESUPUESTO!T39</f>
        <v>908333.33333333337</v>
      </c>
      <c r="D7" s="7">
        <f>B7+C7</f>
        <v>1645643.0833333335</v>
      </c>
      <c r="G7" s="8"/>
      <c r="H7" s="8"/>
    </row>
    <row r="9" spans="1:9" x14ac:dyDescent="0.25">
      <c r="A9" t="s">
        <v>32</v>
      </c>
      <c r="B9" t="s">
        <v>30</v>
      </c>
      <c r="C9" s="8" t="s">
        <v>33</v>
      </c>
      <c r="D9" s="6" t="s">
        <v>34</v>
      </c>
      <c r="F9" s="8">
        <f>D10*40</f>
        <v>2633028.9333333336</v>
      </c>
    </row>
    <row r="10" spans="1:9" x14ac:dyDescent="0.25">
      <c r="B10" s="8">
        <f>D7</f>
        <v>1645643.0833333335</v>
      </c>
      <c r="C10">
        <v>25</v>
      </c>
      <c r="D10" s="7">
        <f>B10/C10</f>
        <v>65825.723333333342</v>
      </c>
      <c r="F10" s="4">
        <f>D28*60</f>
        <v>1474619.5</v>
      </c>
      <c r="G10" s="8">
        <f>SUM(F9:F11)</f>
        <v>5434805.9833333334</v>
      </c>
      <c r="H10" s="8"/>
      <c r="I10" s="4"/>
    </row>
    <row r="11" spans="1:9" ht="60" x14ac:dyDescent="0.25">
      <c r="C11" s="9" t="s">
        <v>37</v>
      </c>
      <c r="F11" s="4">
        <f>'COSTO UNITARIO'!D39*36</f>
        <v>1327157.55</v>
      </c>
      <c r="G11" s="8"/>
    </row>
    <row r="13" spans="1:9" ht="15" customHeight="1" x14ac:dyDescent="0.25">
      <c r="A13" s="91" t="s">
        <v>65</v>
      </c>
      <c r="B13" s="91"/>
      <c r="C13" s="91"/>
      <c r="D13" s="91"/>
      <c r="E13" s="91"/>
      <c r="F13" s="91"/>
      <c r="G13" s="91"/>
      <c r="H13" s="91"/>
    </row>
    <row r="14" spans="1:9" x14ac:dyDescent="0.25">
      <c r="A14" s="91"/>
      <c r="B14" s="91"/>
      <c r="C14" s="91"/>
      <c r="D14" s="91"/>
      <c r="E14" s="91"/>
      <c r="F14" s="91"/>
      <c r="G14" s="91"/>
      <c r="H14" s="91"/>
    </row>
    <row r="15" spans="1:9" x14ac:dyDescent="0.25">
      <c r="A15" s="91"/>
      <c r="B15" s="91"/>
      <c r="C15" s="91"/>
      <c r="D15" s="91"/>
      <c r="E15" s="91"/>
      <c r="F15" s="91"/>
      <c r="G15" s="91"/>
      <c r="H15" s="91"/>
    </row>
    <row r="16" spans="1:9" x14ac:dyDescent="0.25">
      <c r="A16" s="91"/>
      <c r="B16" s="91"/>
      <c r="C16" s="91"/>
      <c r="D16" s="91"/>
      <c r="E16" s="91"/>
      <c r="F16" s="91"/>
      <c r="G16" s="91"/>
      <c r="H16" s="91"/>
    </row>
    <row r="17" spans="1:9" x14ac:dyDescent="0.25">
      <c r="A17" s="91"/>
      <c r="B17" s="91"/>
      <c r="C17" s="91"/>
      <c r="D17" s="91"/>
      <c r="E17" s="91"/>
      <c r="F17" s="91"/>
      <c r="G17" s="91"/>
      <c r="H17" s="91"/>
    </row>
    <row r="18" spans="1:9" x14ac:dyDescent="0.25">
      <c r="A18" s="91"/>
      <c r="B18" s="91"/>
      <c r="C18" s="91"/>
      <c r="D18" s="91"/>
      <c r="E18" s="91"/>
      <c r="F18" s="91"/>
      <c r="G18" s="91"/>
      <c r="H18" s="91"/>
    </row>
    <row r="19" spans="1:9" x14ac:dyDescent="0.25">
      <c r="I19" s="8">
        <f>G11+G36</f>
        <v>737309.75</v>
      </c>
    </row>
    <row r="20" spans="1:9" x14ac:dyDescent="0.25">
      <c r="A20" t="s">
        <v>35</v>
      </c>
      <c r="E20" s="90" t="s">
        <v>102</v>
      </c>
      <c r="F20" s="90"/>
    </row>
    <row r="22" spans="1:9" x14ac:dyDescent="0.25">
      <c r="A22" s="5" t="s">
        <v>26</v>
      </c>
    </row>
    <row r="23" spans="1:9" x14ac:dyDescent="0.25">
      <c r="A23" s="3" t="s">
        <v>27</v>
      </c>
    </row>
    <row r="24" spans="1:9" x14ac:dyDescent="0.25">
      <c r="B24" t="s">
        <v>28</v>
      </c>
      <c r="C24" t="s">
        <v>29</v>
      </c>
      <c r="D24" s="6" t="s">
        <v>30</v>
      </c>
    </row>
    <row r="25" spans="1:9" x14ac:dyDescent="0.25">
      <c r="A25" t="s">
        <v>31</v>
      </c>
      <c r="B25" s="8">
        <f>(PRESUPUESTO!T38/6)/2</f>
        <v>737309.75</v>
      </c>
      <c r="C25" s="8">
        <v>0</v>
      </c>
      <c r="D25" s="7">
        <f>B25+C25</f>
        <v>737309.75</v>
      </c>
    </row>
    <row r="26" spans="1:9" x14ac:dyDescent="0.25">
      <c r="G26" s="8">
        <f>C28*D28</f>
        <v>737309.75</v>
      </c>
      <c r="H26" s="8"/>
    </row>
    <row r="27" spans="1:9" x14ac:dyDescent="0.25">
      <c r="A27" t="s">
        <v>32</v>
      </c>
      <c r="B27" t="s">
        <v>30</v>
      </c>
      <c r="C27" s="8" t="s">
        <v>33</v>
      </c>
      <c r="D27" s="6" t="s">
        <v>34</v>
      </c>
    </row>
    <row r="28" spans="1:9" x14ac:dyDescent="0.25">
      <c r="B28" s="8">
        <f>D25</f>
        <v>737309.75</v>
      </c>
      <c r="C28">
        <v>30</v>
      </c>
      <c r="D28" s="7">
        <f>B28/C28</f>
        <v>24576.991666666665</v>
      </c>
    </row>
    <row r="29" spans="1:9" ht="60" x14ac:dyDescent="0.25">
      <c r="C29" s="9" t="s">
        <v>37</v>
      </c>
    </row>
    <row r="31" spans="1:9" x14ac:dyDescent="0.25">
      <c r="A31" t="s">
        <v>35</v>
      </c>
      <c r="E31" s="90" t="s">
        <v>100</v>
      </c>
      <c r="F31" s="90"/>
    </row>
    <row r="33" spans="1:8" x14ac:dyDescent="0.25">
      <c r="A33" s="5" t="s">
        <v>26</v>
      </c>
    </row>
    <row r="34" spans="1:8" x14ac:dyDescent="0.25">
      <c r="A34" s="29" t="s">
        <v>27</v>
      </c>
    </row>
    <row r="35" spans="1:8" x14ac:dyDescent="0.25">
      <c r="B35" t="s">
        <v>28</v>
      </c>
      <c r="C35" t="s">
        <v>29</v>
      </c>
      <c r="D35" s="6" t="s">
        <v>30</v>
      </c>
    </row>
    <row r="36" spans="1:8" x14ac:dyDescent="0.25">
      <c r="A36" t="s">
        <v>31</v>
      </c>
      <c r="B36" s="8">
        <f>(PRESUPUESTO!T38/6)/2</f>
        <v>737309.75</v>
      </c>
      <c r="C36" s="8">
        <v>0</v>
      </c>
      <c r="D36" s="7">
        <f>B36+C36</f>
        <v>737309.75</v>
      </c>
      <c r="G36" s="4">
        <f>D39*20</f>
        <v>737309.75</v>
      </c>
      <c r="H36" s="8"/>
    </row>
    <row r="38" spans="1:8" x14ac:dyDescent="0.25">
      <c r="A38" t="s">
        <v>32</v>
      </c>
      <c r="B38" t="s">
        <v>30</v>
      </c>
      <c r="C38" s="8" t="s">
        <v>33</v>
      </c>
      <c r="D38" s="6" t="s">
        <v>34</v>
      </c>
    </row>
    <row r="39" spans="1:8" x14ac:dyDescent="0.25">
      <c r="B39" s="8">
        <f>D36</f>
        <v>737309.75</v>
      </c>
      <c r="C39">
        <v>20</v>
      </c>
      <c r="D39" s="7">
        <f>B39/C39</f>
        <v>36865.487500000003</v>
      </c>
    </row>
    <row r="40" spans="1:8" ht="60" x14ac:dyDescent="0.25">
      <c r="C40" s="9" t="s">
        <v>37</v>
      </c>
    </row>
  </sheetData>
  <mergeCells count="4">
    <mergeCell ref="E2:F2"/>
    <mergeCell ref="A13:H18"/>
    <mergeCell ref="E20:F20"/>
    <mergeCell ref="E31:F3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0"/>
  <sheetViews>
    <sheetView zoomScale="120" zoomScaleNormal="120" workbookViewId="0">
      <selection activeCell="A7" sqref="A7:G8"/>
    </sheetView>
  </sheetViews>
  <sheetFormatPr baseColWidth="10" defaultRowHeight="15" x14ac:dyDescent="0.25"/>
  <cols>
    <col min="3" max="3" width="10.28515625" bestFit="1" customWidth="1"/>
    <col min="8" max="8" width="20.5703125" bestFit="1" customWidth="1"/>
    <col min="9" max="9" width="12.5703125" customWidth="1"/>
    <col min="16" max="16" width="14.5703125" customWidth="1"/>
    <col min="21" max="21" width="14.5703125" customWidth="1"/>
  </cols>
  <sheetData>
    <row r="1" spans="1:21" x14ac:dyDescent="0.25">
      <c r="A1" s="92" t="s">
        <v>101</v>
      </c>
      <c r="B1" s="93"/>
      <c r="C1" s="74"/>
      <c r="D1" s="74"/>
      <c r="E1" s="74"/>
      <c r="F1" s="74"/>
      <c r="G1" s="75"/>
      <c r="H1" s="92" t="s">
        <v>155</v>
      </c>
      <c r="I1" s="93"/>
      <c r="J1" s="74"/>
      <c r="K1" s="74"/>
      <c r="L1" s="74"/>
      <c r="M1" s="74"/>
      <c r="N1" s="75"/>
      <c r="O1" s="93" t="s">
        <v>153</v>
      </c>
      <c r="P1" s="93"/>
      <c r="Q1" s="74"/>
      <c r="R1" s="74"/>
      <c r="S1" s="74"/>
      <c r="T1" s="74"/>
      <c r="U1" s="75"/>
    </row>
    <row r="2" spans="1:21" x14ac:dyDescent="0.25">
      <c r="A2" s="76" t="s">
        <v>40</v>
      </c>
      <c r="B2" s="77">
        <v>1.28</v>
      </c>
      <c r="C2" s="13"/>
      <c r="D2" s="13"/>
      <c r="E2" s="13"/>
      <c r="F2" s="13"/>
      <c r="G2" s="78"/>
      <c r="H2" s="76" t="s">
        <v>40</v>
      </c>
      <c r="I2" s="77">
        <v>0.51</v>
      </c>
      <c r="J2" s="13"/>
      <c r="K2" s="13"/>
      <c r="L2" s="13"/>
      <c r="M2" s="13"/>
      <c r="N2" s="78"/>
      <c r="O2" s="13" t="s">
        <v>40</v>
      </c>
      <c r="P2" s="77">
        <v>0.67</v>
      </c>
      <c r="Q2" s="13"/>
      <c r="R2" s="13"/>
      <c r="S2" s="13"/>
      <c r="T2" s="13"/>
      <c r="U2" s="78"/>
    </row>
    <row r="3" spans="1:21" x14ac:dyDescent="0.25">
      <c r="A3" s="76" t="s">
        <v>41</v>
      </c>
      <c r="B3" s="13"/>
      <c r="C3" s="13"/>
      <c r="D3" s="13"/>
      <c r="E3" s="13"/>
      <c r="F3" s="13"/>
      <c r="G3" s="78"/>
      <c r="H3" s="76" t="s">
        <v>41</v>
      </c>
      <c r="I3" s="13"/>
      <c r="J3" s="13"/>
      <c r="K3" s="13"/>
      <c r="L3" s="13"/>
      <c r="M3" s="13"/>
      <c r="N3" s="78"/>
      <c r="O3" s="13" t="s">
        <v>41</v>
      </c>
      <c r="P3" s="13"/>
      <c r="Q3" s="13"/>
      <c r="R3" s="13"/>
      <c r="S3" s="13"/>
      <c r="T3" s="13"/>
      <c r="U3" s="78"/>
    </row>
    <row r="4" spans="1:21" x14ac:dyDescent="0.25">
      <c r="A4" s="76" t="s">
        <v>34</v>
      </c>
      <c r="B4" s="13" t="s">
        <v>40</v>
      </c>
      <c r="C4" s="30" t="s">
        <v>42</v>
      </c>
      <c r="D4" s="30" t="s">
        <v>98</v>
      </c>
      <c r="E4" s="31">
        <f>C5*19%</f>
        <v>28390.634473666669</v>
      </c>
      <c r="F4" s="13"/>
      <c r="G4" s="78"/>
      <c r="H4" s="76" t="s">
        <v>34</v>
      </c>
      <c r="I4" s="13" t="s">
        <v>40</v>
      </c>
      <c r="J4" s="6" t="s">
        <v>42</v>
      </c>
      <c r="K4" s="30" t="s">
        <v>98</v>
      </c>
      <c r="L4" s="31">
        <f>J5*19%</f>
        <v>18885.400024333339</v>
      </c>
      <c r="M4" s="13"/>
      <c r="N4" s="78"/>
      <c r="O4" s="13" t="s">
        <v>34</v>
      </c>
      <c r="P4" s="13" t="s">
        <v>40</v>
      </c>
      <c r="Q4" s="6" t="s">
        <v>42</v>
      </c>
      <c r="R4" s="30" t="s">
        <v>98</v>
      </c>
      <c r="S4" s="31">
        <f>Q5*19%</f>
        <v>20886.502013666672</v>
      </c>
      <c r="T4" s="13"/>
      <c r="U4" s="78"/>
    </row>
    <row r="5" spans="1:21" x14ac:dyDescent="0.25">
      <c r="A5" s="79">
        <f>'COSTO UNITARIO'!D10</f>
        <v>65825.723333333342</v>
      </c>
      <c r="B5" s="12">
        <f>E10</f>
        <v>83598.668633333349</v>
      </c>
      <c r="C5" s="7">
        <f>A5+B5</f>
        <v>149424.39196666668</v>
      </c>
      <c r="D5" s="7">
        <f>C5+E4</f>
        <v>177815.02644033334</v>
      </c>
      <c r="E5" s="13"/>
      <c r="F5" s="13"/>
      <c r="G5" s="78"/>
      <c r="H5" s="79">
        <f>A5</f>
        <v>65825.723333333342</v>
      </c>
      <c r="I5" s="12">
        <f>L10</f>
        <v>33571.118900000009</v>
      </c>
      <c r="J5" s="7">
        <f>H5+I5</f>
        <v>99396.842233333358</v>
      </c>
      <c r="K5" s="32">
        <f>J5+L4</f>
        <v>118282.2422576667</v>
      </c>
      <c r="L5" s="13"/>
      <c r="M5" s="13"/>
      <c r="N5" s="78"/>
      <c r="O5" s="12">
        <f>H5</f>
        <v>65825.723333333342</v>
      </c>
      <c r="P5" s="12">
        <f>S10</f>
        <v>44103.234633333341</v>
      </c>
      <c r="Q5" s="7">
        <f>O5+P5</f>
        <v>109928.95796666668</v>
      </c>
      <c r="R5" s="32">
        <f>Q5+S4</f>
        <v>130815.45998033335</v>
      </c>
      <c r="S5" s="13"/>
      <c r="T5" s="13"/>
      <c r="U5" s="78"/>
    </row>
    <row r="6" spans="1:21" x14ac:dyDescent="0.25">
      <c r="A6" s="76"/>
      <c r="B6" s="13"/>
      <c r="C6" s="13"/>
      <c r="D6" s="13"/>
      <c r="E6" s="13"/>
      <c r="F6" s="13"/>
      <c r="G6" s="78"/>
      <c r="H6" s="76"/>
      <c r="I6" s="13"/>
      <c r="J6" s="13"/>
      <c r="K6" s="13"/>
      <c r="L6" s="13"/>
      <c r="M6" s="13"/>
      <c r="N6" s="78"/>
      <c r="O6" s="13"/>
      <c r="P6" s="13"/>
      <c r="Q6" s="13"/>
      <c r="R6" s="13"/>
      <c r="S6" s="13"/>
      <c r="T6" s="13"/>
      <c r="U6" s="78"/>
    </row>
    <row r="7" spans="1:21" ht="15" customHeight="1" x14ac:dyDescent="0.25">
      <c r="A7" s="100" t="s">
        <v>161</v>
      </c>
      <c r="B7" s="101"/>
      <c r="C7" s="101"/>
      <c r="D7" s="101"/>
      <c r="E7" s="101"/>
      <c r="F7" s="101"/>
      <c r="G7" s="102"/>
      <c r="H7" s="103" t="s">
        <v>156</v>
      </c>
      <c r="I7" s="104"/>
      <c r="J7" s="104"/>
      <c r="K7" s="104"/>
      <c r="L7" s="104"/>
      <c r="M7" s="104"/>
      <c r="N7" s="105"/>
      <c r="O7" s="94" t="s">
        <v>157</v>
      </c>
      <c r="P7" s="95"/>
      <c r="Q7" s="95"/>
      <c r="R7" s="95"/>
      <c r="S7" s="95"/>
      <c r="T7" s="95"/>
      <c r="U7" s="96"/>
    </row>
    <row r="8" spans="1:21" x14ac:dyDescent="0.25">
      <c r="A8" s="100"/>
      <c r="B8" s="101"/>
      <c r="C8" s="101"/>
      <c r="D8" s="101"/>
      <c r="E8" s="101"/>
      <c r="F8" s="101"/>
      <c r="G8" s="102"/>
      <c r="H8" s="106"/>
      <c r="I8" s="107"/>
      <c r="J8" s="107"/>
      <c r="K8" s="107"/>
      <c r="L8" s="107"/>
      <c r="M8" s="107"/>
      <c r="N8" s="108"/>
      <c r="O8" s="97"/>
      <c r="P8" s="98"/>
      <c r="Q8" s="98"/>
      <c r="R8" s="98"/>
      <c r="S8" s="98"/>
      <c r="T8" s="98"/>
      <c r="U8" s="99"/>
    </row>
    <row r="9" spans="1:21" x14ac:dyDescent="0.25">
      <c r="A9" s="76"/>
      <c r="B9" s="13"/>
      <c r="C9" s="13"/>
      <c r="D9" s="13"/>
      <c r="E9" s="13"/>
      <c r="F9" s="13"/>
      <c r="G9" s="78"/>
      <c r="H9" s="76"/>
      <c r="I9" s="13"/>
      <c r="J9" s="13"/>
      <c r="K9" s="13"/>
      <c r="L9" s="13"/>
      <c r="M9" s="13"/>
      <c r="N9" s="78"/>
      <c r="O9" s="13"/>
      <c r="P9" s="13"/>
      <c r="Q9" s="13"/>
      <c r="R9" s="13"/>
      <c r="S9" s="13"/>
      <c r="T9" s="13"/>
      <c r="U9" s="78"/>
    </row>
    <row r="10" spans="1:21" ht="15.75" thickBot="1" x14ac:dyDescent="0.3">
      <c r="A10" s="80"/>
      <c r="B10" s="81" t="s">
        <v>40</v>
      </c>
      <c r="C10" s="82">
        <f>A5</f>
        <v>65825.723333333342</v>
      </c>
      <c r="D10" s="83">
        <v>1.27</v>
      </c>
      <c r="E10" s="84">
        <f>(C10*D10)</f>
        <v>83598.668633333349</v>
      </c>
      <c r="F10" s="81"/>
      <c r="G10" s="26"/>
      <c r="H10" s="80"/>
      <c r="I10" s="81" t="s">
        <v>40</v>
      </c>
      <c r="J10" s="82">
        <f>H5</f>
        <v>65825.723333333342</v>
      </c>
      <c r="K10" s="83">
        <v>0.51</v>
      </c>
      <c r="L10" s="84">
        <f>(J10*K10)</f>
        <v>33571.118900000009</v>
      </c>
      <c r="M10" s="81"/>
      <c r="N10" s="26"/>
      <c r="O10" s="81"/>
      <c r="P10" s="81" t="s">
        <v>40</v>
      </c>
      <c r="Q10" s="82">
        <f>O5</f>
        <v>65825.723333333342</v>
      </c>
      <c r="R10" s="83">
        <v>0.67</v>
      </c>
      <c r="S10" s="84">
        <f>(Q10*R10)</f>
        <v>44103.234633333341</v>
      </c>
      <c r="T10" s="81"/>
      <c r="U10" s="26"/>
    </row>
    <row r="11" spans="1:21" x14ac:dyDescent="0.25">
      <c r="A11" s="92" t="s">
        <v>102</v>
      </c>
      <c r="B11" s="93"/>
      <c r="C11" s="74"/>
      <c r="D11" s="74"/>
      <c r="E11" s="74"/>
      <c r="F11" s="74"/>
      <c r="G11" s="75"/>
      <c r="H11" s="92" t="s">
        <v>155</v>
      </c>
      <c r="I11" s="93"/>
      <c r="J11" s="74"/>
      <c r="K11" s="74"/>
      <c r="L11" s="74"/>
      <c r="M11" s="74"/>
      <c r="N11" s="75"/>
      <c r="O11" s="92" t="s">
        <v>153</v>
      </c>
      <c r="P11" s="93"/>
      <c r="Q11" s="74"/>
      <c r="R11" s="74"/>
      <c r="S11" s="74"/>
      <c r="T11" s="74"/>
      <c r="U11" s="75"/>
    </row>
    <row r="12" spans="1:21" x14ac:dyDescent="0.25">
      <c r="A12" s="76" t="s">
        <v>40</v>
      </c>
      <c r="B12" s="77">
        <v>0.69</v>
      </c>
      <c r="C12" s="13"/>
      <c r="D12" s="13"/>
      <c r="E12" s="13"/>
      <c r="F12" s="13"/>
      <c r="G12" s="78"/>
      <c r="H12" s="76" t="s">
        <v>40</v>
      </c>
      <c r="I12" s="77">
        <v>0.42</v>
      </c>
      <c r="J12" s="13"/>
      <c r="K12" s="13"/>
      <c r="L12" s="13"/>
      <c r="M12" s="13"/>
      <c r="N12" s="78"/>
      <c r="O12" s="76" t="s">
        <v>40</v>
      </c>
      <c r="P12" s="77">
        <v>0.62</v>
      </c>
      <c r="Q12" s="13"/>
      <c r="R12" s="13"/>
      <c r="S12" s="13"/>
      <c r="T12" s="13"/>
      <c r="U12" s="78"/>
    </row>
    <row r="13" spans="1:21" x14ac:dyDescent="0.25">
      <c r="A13" s="76" t="s">
        <v>41</v>
      </c>
      <c r="B13" s="13"/>
      <c r="C13" s="13"/>
      <c r="D13" s="13"/>
      <c r="E13" s="13"/>
      <c r="F13" s="13"/>
      <c r="G13" s="78"/>
      <c r="H13" s="76" t="s">
        <v>41</v>
      </c>
      <c r="I13" s="13"/>
      <c r="J13" s="13"/>
      <c r="K13" s="13"/>
      <c r="L13" s="13"/>
      <c r="M13" s="13"/>
      <c r="N13" s="78"/>
      <c r="O13" s="76" t="s">
        <v>41</v>
      </c>
      <c r="P13" s="13"/>
      <c r="Q13" s="13"/>
      <c r="R13" s="13"/>
      <c r="S13" s="13"/>
      <c r="T13" s="13"/>
      <c r="U13" s="78"/>
    </row>
    <row r="14" spans="1:21" x14ac:dyDescent="0.25">
      <c r="A14" s="76" t="s">
        <v>34</v>
      </c>
      <c r="B14" s="13" t="s">
        <v>40</v>
      </c>
      <c r="C14" s="6" t="s">
        <v>42</v>
      </c>
      <c r="D14" s="30" t="s">
        <v>98</v>
      </c>
      <c r="E14" s="31">
        <f>C15*19%</f>
        <v>7891.6720241666662</v>
      </c>
      <c r="F14" s="13"/>
      <c r="G14" s="78"/>
      <c r="H14" s="76" t="s">
        <v>34</v>
      </c>
      <c r="I14" s="13" t="s">
        <v>40</v>
      </c>
      <c r="J14" s="6" t="s">
        <v>42</v>
      </c>
      <c r="K14" s="30" t="s">
        <v>98</v>
      </c>
      <c r="L14" s="31">
        <f>J15*19%</f>
        <v>6630.8723516666669</v>
      </c>
      <c r="M14" s="13"/>
      <c r="N14" s="78"/>
      <c r="O14" s="76" t="s">
        <v>34</v>
      </c>
      <c r="P14" s="13" t="s">
        <v>40</v>
      </c>
      <c r="Q14" s="6" t="s">
        <v>42</v>
      </c>
      <c r="R14" s="30" t="s">
        <v>98</v>
      </c>
      <c r="S14" s="31">
        <f>Q15*19%</f>
        <v>7564.7980349999998</v>
      </c>
      <c r="T14" s="13"/>
      <c r="U14" s="78"/>
    </row>
    <row r="15" spans="1:21" x14ac:dyDescent="0.25">
      <c r="A15" s="79">
        <f>'COSTO UNITARIO'!D28</f>
        <v>24576.991666666665</v>
      </c>
      <c r="B15" s="12">
        <f>E20</f>
        <v>16958.124249999997</v>
      </c>
      <c r="C15" s="7">
        <f>A15+B15</f>
        <v>41535.115916666662</v>
      </c>
      <c r="D15" s="32">
        <f>C15+E14</f>
        <v>49426.787940833325</v>
      </c>
      <c r="E15" s="13"/>
      <c r="F15" s="13"/>
      <c r="G15" s="78"/>
      <c r="H15" s="79">
        <f>A15</f>
        <v>24576.991666666665</v>
      </c>
      <c r="I15" s="12">
        <f>L20</f>
        <v>10322.336499999999</v>
      </c>
      <c r="J15" s="7">
        <f>H15+I15</f>
        <v>34899.328166666666</v>
      </c>
      <c r="K15" s="32">
        <f>J15+L14</f>
        <v>41530.200518333331</v>
      </c>
      <c r="L15" s="13"/>
      <c r="M15" s="13"/>
      <c r="N15" s="78"/>
      <c r="O15" s="79">
        <f>H15</f>
        <v>24576.991666666665</v>
      </c>
      <c r="P15" s="12">
        <f>S20</f>
        <v>15237.734833333332</v>
      </c>
      <c r="Q15" s="7">
        <f>O15+P15</f>
        <v>39814.726499999997</v>
      </c>
      <c r="R15" s="32">
        <f>Q15+S14</f>
        <v>47379.524534999997</v>
      </c>
      <c r="S15" s="13"/>
      <c r="T15" s="13"/>
      <c r="U15" s="78"/>
    </row>
    <row r="16" spans="1:21" x14ac:dyDescent="0.25">
      <c r="A16" s="76"/>
      <c r="B16" s="13"/>
      <c r="C16" s="13"/>
      <c r="D16" s="13"/>
      <c r="E16" s="13"/>
      <c r="F16" s="13"/>
      <c r="G16" s="78"/>
      <c r="H16" s="76"/>
      <c r="I16" s="13"/>
      <c r="J16" s="13"/>
      <c r="K16" s="13"/>
      <c r="L16" s="13"/>
      <c r="M16" s="13"/>
      <c r="N16" s="78"/>
      <c r="O16" s="76"/>
      <c r="P16" s="13"/>
      <c r="Q16" s="13"/>
      <c r="R16" s="13"/>
      <c r="S16" s="13"/>
      <c r="T16" s="13"/>
      <c r="U16" s="78"/>
    </row>
    <row r="17" spans="1:21" ht="15" customHeight="1" x14ac:dyDescent="0.25">
      <c r="A17" s="103" t="s">
        <v>142</v>
      </c>
      <c r="B17" s="104"/>
      <c r="C17" s="104"/>
      <c r="D17" s="104"/>
      <c r="E17" s="104"/>
      <c r="F17" s="104"/>
      <c r="G17" s="105"/>
      <c r="H17" s="94" t="s">
        <v>159</v>
      </c>
      <c r="I17" s="95"/>
      <c r="J17" s="95"/>
      <c r="K17" s="95"/>
      <c r="L17" s="95"/>
      <c r="M17" s="95"/>
      <c r="N17" s="96"/>
      <c r="O17" s="94" t="s">
        <v>158</v>
      </c>
      <c r="P17" s="95"/>
      <c r="Q17" s="95"/>
      <c r="R17" s="95"/>
      <c r="S17" s="95"/>
      <c r="T17" s="95"/>
      <c r="U17" s="96"/>
    </row>
    <row r="18" spans="1:21" ht="15" customHeight="1" x14ac:dyDescent="0.25">
      <c r="A18" s="106"/>
      <c r="B18" s="107"/>
      <c r="C18" s="107"/>
      <c r="D18" s="107"/>
      <c r="E18" s="107"/>
      <c r="F18" s="107"/>
      <c r="G18" s="108"/>
      <c r="H18" s="97"/>
      <c r="I18" s="98"/>
      <c r="J18" s="98"/>
      <c r="K18" s="98"/>
      <c r="L18" s="98"/>
      <c r="M18" s="98"/>
      <c r="N18" s="99"/>
      <c r="O18" s="97"/>
      <c r="P18" s="98"/>
      <c r="Q18" s="98"/>
      <c r="R18" s="98"/>
      <c r="S18" s="98"/>
      <c r="T18" s="98"/>
      <c r="U18" s="99"/>
    </row>
    <row r="19" spans="1:21" x14ac:dyDescent="0.25">
      <c r="A19" s="76"/>
      <c r="B19" s="13"/>
      <c r="C19" s="13"/>
      <c r="D19" s="13"/>
      <c r="E19" s="13"/>
      <c r="F19" s="13"/>
      <c r="G19" s="78"/>
      <c r="H19" s="76"/>
      <c r="I19" s="13"/>
      <c r="J19" s="13"/>
      <c r="K19" s="13"/>
      <c r="L19" s="13"/>
      <c r="M19" s="13"/>
      <c r="N19" s="78"/>
      <c r="O19" s="76"/>
      <c r="P19" s="13"/>
      <c r="Q19" s="13"/>
      <c r="R19" s="13"/>
      <c r="S19" s="13"/>
      <c r="T19" s="13"/>
      <c r="U19" s="78"/>
    </row>
    <row r="20" spans="1:21" ht="15.75" thickBot="1" x14ac:dyDescent="0.3">
      <c r="A20" s="80"/>
      <c r="B20" s="81" t="s">
        <v>40</v>
      </c>
      <c r="C20" s="82">
        <f>A15</f>
        <v>24576.991666666665</v>
      </c>
      <c r="D20" s="83">
        <v>0.69</v>
      </c>
      <c r="E20" s="84">
        <f>(C20*D20)</f>
        <v>16958.124249999997</v>
      </c>
      <c r="F20" s="81"/>
      <c r="G20" s="26"/>
      <c r="H20" s="80"/>
      <c r="I20" s="81" t="s">
        <v>40</v>
      </c>
      <c r="J20" s="82">
        <f>H15</f>
        <v>24576.991666666665</v>
      </c>
      <c r="K20" s="83">
        <v>0.42</v>
      </c>
      <c r="L20" s="84">
        <f>(J20*K20)</f>
        <v>10322.336499999999</v>
      </c>
      <c r="M20" s="81"/>
      <c r="N20" s="26"/>
      <c r="O20" s="80"/>
      <c r="P20" s="81" t="s">
        <v>40</v>
      </c>
      <c r="Q20" s="82">
        <f>O15</f>
        <v>24576.991666666665</v>
      </c>
      <c r="R20" s="83">
        <v>0.62</v>
      </c>
      <c r="S20" s="84">
        <f>(Q20*R20)</f>
        <v>15237.734833333332</v>
      </c>
      <c r="T20" s="81"/>
      <c r="U20" s="26"/>
    </row>
    <row r="21" spans="1:21" x14ac:dyDescent="0.25">
      <c r="A21" s="92" t="s">
        <v>100</v>
      </c>
      <c r="B21" s="93"/>
      <c r="C21" s="74"/>
      <c r="D21" s="74"/>
      <c r="E21" s="74"/>
      <c r="F21" s="74"/>
      <c r="G21" s="75"/>
      <c r="H21" s="92" t="s">
        <v>155</v>
      </c>
      <c r="I21" s="93"/>
      <c r="J21" s="74"/>
      <c r="K21" s="74"/>
      <c r="L21" s="74"/>
      <c r="M21" s="74"/>
      <c r="N21" s="75"/>
      <c r="O21" s="92" t="s">
        <v>154</v>
      </c>
      <c r="P21" s="93"/>
      <c r="Q21" s="74"/>
      <c r="R21" s="74"/>
      <c r="S21" s="74"/>
      <c r="T21" s="74"/>
      <c r="U21" s="75"/>
    </row>
    <row r="22" spans="1:21" x14ac:dyDescent="0.25">
      <c r="A22" s="76"/>
      <c r="B22" s="77">
        <v>0.56999999999999995</v>
      </c>
      <c r="C22" s="13"/>
      <c r="D22" s="13"/>
      <c r="E22" s="13"/>
      <c r="F22" s="13"/>
      <c r="G22" s="78"/>
      <c r="H22" s="76"/>
      <c r="I22" s="77">
        <v>0.32</v>
      </c>
      <c r="J22" s="13"/>
      <c r="K22" s="13"/>
      <c r="L22" s="13"/>
      <c r="M22" s="13"/>
      <c r="N22" s="78"/>
      <c r="O22" s="76"/>
      <c r="P22" s="77">
        <v>0.49</v>
      </c>
      <c r="Q22" s="13"/>
      <c r="R22" s="13"/>
      <c r="S22" s="13"/>
      <c r="T22" s="13"/>
      <c r="U22" s="78"/>
    </row>
    <row r="23" spans="1:21" x14ac:dyDescent="0.25">
      <c r="A23" s="76" t="s">
        <v>41</v>
      </c>
      <c r="B23" s="13"/>
      <c r="C23" s="13"/>
      <c r="D23" s="13"/>
      <c r="E23" s="13"/>
      <c r="F23" s="13"/>
      <c r="G23" s="78"/>
      <c r="H23" s="76" t="s">
        <v>41</v>
      </c>
      <c r="I23" s="13"/>
      <c r="J23" s="13"/>
      <c r="K23" s="13"/>
      <c r="L23" s="13"/>
      <c r="M23" s="13"/>
      <c r="N23" s="78"/>
      <c r="O23" s="76" t="s">
        <v>41</v>
      </c>
      <c r="P23" s="13"/>
      <c r="Q23" s="13"/>
      <c r="R23" s="13"/>
      <c r="S23" s="13"/>
      <c r="T23" s="13"/>
      <c r="U23" s="78"/>
    </row>
    <row r="24" spans="1:21" x14ac:dyDescent="0.25">
      <c r="A24" s="76" t="s">
        <v>34</v>
      </c>
      <c r="B24" s="13" t="s">
        <v>40</v>
      </c>
      <c r="C24" s="6" t="s">
        <v>42</v>
      </c>
      <c r="D24" s="30" t="s">
        <v>98</v>
      </c>
      <c r="E24" s="31">
        <f>C25*19%</f>
        <v>26967.129884500002</v>
      </c>
      <c r="F24" s="13"/>
      <c r="G24" s="78"/>
      <c r="H24" s="76" t="s">
        <v>34</v>
      </c>
      <c r="I24" s="13" t="s">
        <v>40</v>
      </c>
      <c r="J24" s="6" t="s">
        <v>42</v>
      </c>
      <c r="K24" s="30" t="s">
        <v>98</v>
      </c>
      <c r="L24" s="31">
        <f>J25*19%</f>
        <v>22673.000922000003</v>
      </c>
      <c r="M24" s="13"/>
      <c r="N24" s="78"/>
      <c r="O24" s="76" t="s">
        <v>34</v>
      </c>
      <c r="P24" s="13" t="s">
        <v>40</v>
      </c>
      <c r="Q24" s="6" t="s">
        <v>42</v>
      </c>
      <c r="R24" s="30" t="s">
        <v>98</v>
      </c>
      <c r="S24" s="31">
        <f>Q25*19%</f>
        <v>25593.008616500007</v>
      </c>
      <c r="T24" s="13"/>
      <c r="U24" s="78"/>
    </row>
    <row r="25" spans="1:21" x14ac:dyDescent="0.25">
      <c r="A25" s="79">
        <f>'COSTO UNITARIO'!D10+'COSTO UNITARIO'!D28</f>
        <v>90402.715000000011</v>
      </c>
      <c r="B25" s="12">
        <f>E30</f>
        <v>51529.547550000003</v>
      </c>
      <c r="C25" s="7">
        <f>A25+B25</f>
        <v>141932.26255000001</v>
      </c>
      <c r="D25" s="32">
        <f>C25+E24</f>
        <v>168899.39243450001</v>
      </c>
      <c r="E25" s="13"/>
      <c r="F25" s="13"/>
      <c r="G25" s="78"/>
      <c r="H25" s="79">
        <f>A25</f>
        <v>90402.715000000011</v>
      </c>
      <c r="I25" s="12">
        <f>L30</f>
        <v>28928.868800000004</v>
      </c>
      <c r="J25" s="7">
        <f>H25+I25</f>
        <v>119331.58380000002</v>
      </c>
      <c r="K25" s="32">
        <f>J25+L24</f>
        <v>142004.58472200003</v>
      </c>
      <c r="L25" s="13"/>
      <c r="M25" s="13"/>
      <c r="N25" s="78"/>
      <c r="O25" s="79">
        <f>H25</f>
        <v>90402.715000000011</v>
      </c>
      <c r="P25" s="12">
        <f>S30</f>
        <v>44297.330350000004</v>
      </c>
      <c r="Q25" s="7">
        <f>O25+P25</f>
        <v>134700.04535000003</v>
      </c>
      <c r="R25" s="32">
        <f>Q25+S24</f>
        <v>160293.05396650004</v>
      </c>
      <c r="S25" s="13"/>
      <c r="T25" s="13"/>
      <c r="U25" s="78"/>
    </row>
    <row r="26" spans="1:21" ht="15" customHeight="1" x14ac:dyDescent="0.25">
      <c r="A26" s="76"/>
      <c r="B26" s="13"/>
      <c r="C26" s="13"/>
      <c r="D26" s="13"/>
      <c r="E26" s="13"/>
      <c r="F26" s="13"/>
      <c r="G26" s="78"/>
      <c r="H26" s="76"/>
      <c r="I26" s="13"/>
      <c r="J26" s="13"/>
      <c r="K26" s="13"/>
      <c r="L26" s="13"/>
      <c r="M26" s="13"/>
      <c r="N26" s="78"/>
      <c r="O26" s="76"/>
      <c r="P26" s="13"/>
      <c r="Q26" s="13"/>
      <c r="R26" s="13"/>
      <c r="S26" s="13"/>
      <c r="T26" s="13"/>
      <c r="U26" s="78"/>
    </row>
    <row r="27" spans="1:21" ht="15" customHeight="1" x14ac:dyDescent="0.25">
      <c r="A27" s="100" t="s">
        <v>167</v>
      </c>
      <c r="B27" s="101"/>
      <c r="C27" s="101"/>
      <c r="D27" s="101"/>
      <c r="E27" s="101"/>
      <c r="F27" s="101"/>
      <c r="G27" s="102"/>
      <c r="H27" s="94" t="s">
        <v>166</v>
      </c>
      <c r="I27" s="95"/>
      <c r="J27" s="95"/>
      <c r="K27" s="95"/>
      <c r="L27" s="95"/>
      <c r="M27" s="95"/>
      <c r="N27" s="96"/>
      <c r="O27" s="94" t="s">
        <v>160</v>
      </c>
      <c r="P27" s="95"/>
      <c r="Q27" s="95"/>
      <c r="R27" s="95"/>
      <c r="S27" s="95"/>
      <c r="T27" s="95"/>
      <c r="U27" s="96"/>
    </row>
    <row r="28" spans="1:21" x14ac:dyDescent="0.25">
      <c r="A28" s="100"/>
      <c r="B28" s="101"/>
      <c r="C28" s="101"/>
      <c r="D28" s="101"/>
      <c r="E28" s="101"/>
      <c r="F28" s="101"/>
      <c r="G28" s="102"/>
      <c r="H28" s="97"/>
      <c r="I28" s="98"/>
      <c r="J28" s="98"/>
      <c r="K28" s="98"/>
      <c r="L28" s="98"/>
      <c r="M28" s="98"/>
      <c r="N28" s="99"/>
      <c r="O28" s="97"/>
      <c r="P28" s="98"/>
      <c r="Q28" s="98"/>
      <c r="R28" s="98"/>
      <c r="S28" s="98"/>
      <c r="T28" s="98"/>
      <c r="U28" s="99"/>
    </row>
    <row r="29" spans="1:21" ht="15" customHeight="1" x14ac:dyDescent="0.25">
      <c r="A29" s="76"/>
      <c r="B29" s="13"/>
      <c r="C29" s="13"/>
      <c r="D29" s="13"/>
      <c r="E29" s="13"/>
      <c r="F29" s="13"/>
      <c r="G29" s="78"/>
      <c r="H29" s="76"/>
      <c r="I29" s="13"/>
      <c r="J29" s="13"/>
      <c r="K29" s="13"/>
      <c r="L29" s="13"/>
      <c r="M29" s="13"/>
      <c r="N29" s="78"/>
      <c r="O29" s="76"/>
      <c r="P29" s="13"/>
      <c r="Q29" s="13"/>
      <c r="R29" s="13"/>
      <c r="S29" s="13"/>
      <c r="T29" s="13"/>
      <c r="U29" s="78"/>
    </row>
    <row r="30" spans="1:21" ht="15.75" thickBot="1" x14ac:dyDescent="0.3">
      <c r="A30" s="80"/>
      <c r="B30" s="81" t="s">
        <v>40</v>
      </c>
      <c r="C30" s="82">
        <f>A25</f>
        <v>90402.715000000011</v>
      </c>
      <c r="D30" s="83">
        <v>0.56999999999999995</v>
      </c>
      <c r="E30" s="84">
        <f>(C30*D30)</f>
        <v>51529.547550000003</v>
      </c>
      <c r="F30" s="81"/>
      <c r="G30" s="26"/>
      <c r="H30" s="80"/>
      <c r="I30" s="81" t="s">
        <v>40</v>
      </c>
      <c r="J30" s="82">
        <f>H25</f>
        <v>90402.715000000011</v>
      </c>
      <c r="K30" s="83">
        <v>0.32</v>
      </c>
      <c r="L30" s="84">
        <f>(J30*K30)</f>
        <v>28928.868800000004</v>
      </c>
      <c r="M30" s="81"/>
      <c r="N30" s="26"/>
      <c r="O30" s="80"/>
      <c r="P30" s="81" t="s">
        <v>40</v>
      </c>
      <c r="Q30" s="82">
        <f>O25</f>
        <v>90402.715000000011</v>
      </c>
      <c r="R30" s="83">
        <v>0.49</v>
      </c>
      <c r="S30" s="84">
        <f>(Q30*R30)</f>
        <v>44297.330350000004</v>
      </c>
      <c r="T30" s="81"/>
      <c r="U30" s="26"/>
    </row>
  </sheetData>
  <mergeCells count="18">
    <mergeCell ref="A21:B21"/>
    <mergeCell ref="A27:G28"/>
    <mergeCell ref="A1:B1"/>
    <mergeCell ref="A7:G8"/>
    <mergeCell ref="A11:B11"/>
    <mergeCell ref="A17:G18"/>
    <mergeCell ref="O21:P21"/>
    <mergeCell ref="O27:U28"/>
    <mergeCell ref="H1:I1"/>
    <mergeCell ref="O1:P1"/>
    <mergeCell ref="O7:U8"/>
    <mergeCell ref="O11:P11"/>
    <mergeCell ref="O17:U18"/>
    <mergeCell ref="H7:N8"/>
    <mergeCell ref="H11:I11"/>
    <mergeCell ref="H17:N18"/>
    <mergeCell ref="H21:I21"/>
    <mergeCell ref="H27:N2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opLeftCell="D1" workbookViewId="0">
      <selection activeCell="L20" sqref="L20"/>
    </sheetView>
  </sheetViews>
  <sheetFormatPr baseColWidth="10" defaultRowHeight="15" x14ac:dyDescent="0.25"/>
  <cols>
    <col min="5" max="5" width="17.28515625" bestFit="1" customWidth="1"/>
    <col min="6" max="6" width="17" customWidth="1"/>
    <col min="7" max="8" width="17.28515625" customWidth="1"/>
    <col min="9" max="9" width="25.28515625" bestFit="1" customWidth="1"/>
    <col min="10" max="10" width="25.28515625" customWidth="1"/>
    <col min="11" max="11" width="15.7109375" bestFit="1" customWidth="1"/>
    <col min="12" max="12" width="15.7109375" customWidth="1"/>
    <col min="13" max="13" width="20.7109375" customWidth="1"/>
  </cols>
  <sheetData>
    <row r="1" spans="1:13" x14ac:dyDescent="0.25">
      <c r="A1" s="85"/>
      <c r="B1" s="109" t="s">
        <v>164</v>
      </c>
      <c r="C1" s="109"/>
      <c r="D1" s="109"/>
      <c r="E1" s="109"/>
      <c r="F1" s="110" t="s">
        <v>165</v>
      </c>
      <c r="G1" s="110"/>
      <c r="H1" s="110"/>
      <c r="I1" s="110"/>
      <c r="J1" s="111" t="s">
        <v>162</v>
      </c>
      <c r="K1" s="111"/>
      <c r="L1" s="110" t="s">
        <v>163</v>
      </c>
      <c r="M1" s="110"/>
    </row>
    <row r="2" spans="1:13" x14ac:dyDescent="0.25">
      <c r="A2" s="86" t="s">
        <v>101</v>
      </c>
      <c r="B2" s="34">
        <v>100000</v>
      </c>
      <c r="C2" s="34">
        <v>100000</v>
      </c>
      <c r="D2" s="34">
        <v>100000</v>
      </c>
      <c r="E2" s="34">
        <v>100000</v>
      </c>
      <c r="F2" s="34">
        <v>110000</v>
      </c>
      <c r="G2" s="34">
        <v>110000</v>
      </c>
      <c r="H2" s="34">
        <v>110000</v>
      </c>
      <c r="I2" s="34">
        <v>110000</v>
      </c>
      <c r="J2" s="34">
        <v>150000</v>
      </c>
      <c r="K2" s="34">
        <v>150000</v>
      </c>
      <c r="L2" s="34">
        <v>110000</v>
      </c>
      <c r="M2" s="34">
        <v>110000</v>
      </c>
    </row>
    <row r="3" spans="1:13" x14ac:dyDescent="0.25">
      <c r="A3" s="86" t="s">
        <v>138</v>
      </c>
      <c r="B3" s="34">
        <v>35000</v>
      </c>
      <c r="C3" s="34">
        <v>35000</v>
      </c>
      <c r="D3" s="34">
        <v>35000</v>
      </c>
      <c r="E3" s="34">
        <v>35000</v>
      </c>
      <c r="F3" s="34">
        <v>40000</v>
      </c>
      <c r="G3" s="34">
        <v>40000</v>
      </c>
      <c r="H3" s="34">
        <v>40000</v>
      </c>
      <c r="I3" s="34">
        <v>40000</v>
      </c>
      <c r="J3" s="34">
        <v>50000</v>
      </c>
      <c r="K3" s="34">
        <v>50000</v>
      </c>
      <c r="L3" s="34">
        <v>40000</v>
      </c>
      <c r="M3" s="34">
        <v>40000</v>
      </c>
    </row>
    <row r="4" spans="1:13" x14ac:dyDescent="0.25">
      <c r="A4" s="86" t="s">
        <v>100</v>
      </c>
      <c r="B4" s="34">
        <v>120000</v>
      </c>
      <c r="C4" s="34">
        <v>120000</v>
      </c>
      <c r="D4" s="34">
        <v>120000</v>
      </c>
      <c r="E4" s="34">
        <v>120000</v>
      </c>
      <c r="F4" s="34">
        <v>135000</v>
      </c>
      <c r="G4" s="34">
        <v>135000</v>
      </c>
      <c r="H4" s="34">
        <v>135000</v>
      </c>
      <c r="I4" s="34">
        <v>135000</v>
      </c>
      <c r="J4" s="34">
        <v>170000</v>
      </c>
      <c r="K4" s="34">
        <v>170000</v>
      </c>
      <c r="L4" s="34">
        <v>135000</v>
      </c>
      <c r="M4" s="34">
        <v>135000</v>
      </c>
    </row>
    <row r="5" spans="1:13" ht="15.75" thickBot="1" x14ac:dyDescent="0.3">
      <c r="A5" s="11"/>
      <c r="B5" s="87" t="s">
        <v>104</v>
      </c>
      <c r="C5" s="87" t="s">
        <v>7</v>
      </c>
      <c r="D5" s="87" t="s">
        <v>106</v>
      </c>
      <c r="E5" s="87" t="s">
        <v>107</v>
      </c>
      <c r="F5" s="88" t="s">
        <v>108</v>
      </c>
      <c r="G5" s="88" t="s">
        <v>122</v>
      </c>
      <c r="H5" s="88" t="s">
        <v>125</v>
      </c>
      <c r="I5" s="88" t="s">
        <v>128</v>
      </c>
      <c r="J5" s="87" t="s">
        <v>126</v>
      </c>
      <c r="K5" s="87" t="s">
        <v>127</v>
      </c>
      <c r="L5" s="87" t="s">
        <v>133</v>
      </c>
      <c r="M5" s="87" t="s">
        <v>134</v>
      </c>
    </row>
    <row r="6" spans="1:13" ht="15" customHeight="1" x14ac:dyDescent="0.25">
      <c r="B6" s="112" t="s">
        <v>191</v>
      </c>
      <c r="C6" s="113"/>
      <c r="D6" s="113"/>
      <c r="E6" s="114"/>
      <c r="F6" s="112" t="s">
        <v>192</v>
      </c>
      <c r="G6" s="113"/>
      <c r="H6" s="113"/>
      <c r="I6" s="114"/>
      <c r="J6" s="112" t="s">
        <v>193</v>
      </c>
      <c r="K6" s="113"/>
      <c r="L6" s="112" t="s">
        <v>194</v>
      </c>
      <c r="M6" s="114"/>
    </row>
    <row r="7" spans="1:13" x14ac:dyDescent="0.25">
      <c r="B7" s="115"/>
      <c r="C7" s="116"/>
      <c r="D7" s="116"/>
      <c r="E7" s="117"/>
      <c r="F7" s="115"/>
      <c r="G7" s="116"/>
      <c r="H7" s="116"/>
      <c r="I7" s="117"/>
      <c r="J7" s="115"/>
      <c r="K7" s="116"/>
      <c r="L7" s="115"/>
      <c r="M7" s="117"/>
    </row>
    <row r="8" spans="1:13" x14ac:dyDescent="0.25">
      <c r="B8" s="115"/>
      <c r="C8" s="116"/>
      <c r="D8" s="116"/>
      <c r="E8" s="117"/>
      <c r="F8" s="115"/>
      <c r="G8" s="116"/>
      <c r="H8" s="116"/>
      <c r="I8" s="117"/>
      <c r="J8" s="115"/>
      <c r="K8" s="116"/>
      <c r="L8" s="115"/>
      <c r="M8" s="117"/>
    </row>
    <row r="9" spans="1:13" x14ac:dyDescent="0.25">
      <c r="B9" s="115"/>
      <c r="C9" s="116"/>
      <c r="D9" s="116"/>
      <c r="E9" s="117"/>
      <c r="F9" s="115"/>
      <c r="G9" s="116"/>
      <c r="H9" s="116"/>
      <c r="I9" s="117"/>
      <c r="J9" s="115"/>
      <c r="K9" s="116"/>
      <c r="L9" s="115"/>
      <c r="M9" s="117"/>
    </row>
    <row r="10" spans="1:13" x14ac:dyDescent="0.25">
      <c r="B10" s="115"/>
      <c r="C10" s="116"/>
      <c r="D10" s="116"/>
      <c r="E10" s="117"/>
      <c r="F10" s="115"/>
      <c r="G10" s="116"/>
      <c r="H10" s="116"/>
      <c r="I10" s="117"/>
      <c r="J10" s="115"/>
      <c r="K10" s="116"/>
      <c r="L10" s="115"/>
      <c r="M10" s="117"/>
    </row>
    <row r="11" spans="1:13" ht="35.25" customHeight="1" thickBot="1" x14ac:dyDescent="0.3">
      <c r="B11" s="118"/>
      <c r="C11" s="119"/>
      <c r="D11" s="119"/>
      <c r="E11" s="120"/>
      <c r="F11" s="118"/>
      <c r="G11" s="119"/>
      <c r="H11" s="119"/>
      <c r="I11" s="120"/>
      <c r="J11" s="118"/>
      <c r="K11" s="119"/>
      <c r="L11" s="118"/>
      <c r="M11" s="120"/>
    </row>
  </sheetData>
  <mergeCells count="8">
    <mergeCell ref="B1:E1"/>
    <mergeCell ref="F1:I1"/>
    <mergeCell ref="J1:K1"/>
    <mergeCell ref="L1:M1"/>
    <mergeCell ref="B6:E11"/>
    <mergeCell ref="F6:I11"/>
    <mergeCell ref="J6:K11"/>
    <mergeCell ref="L6:M11"/>
  </mergeCells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opLeftCell="A37" workbookViewId="0">
      <selection activeCell="C12" sqref="C12"/>
    </sheetView>
  </sheetViews>
  <sheetFormatPr baseColWidth="10" defaultRowHeight="15" x14ac:dyDescent="0.25"/>
  <cols>
    <col min="4" max="4" width="15" bestFit="1" customWidth="1"/>
    <col min="5" max="5" width="15.85546875" bestFit="1" customWidth="1"/>
    <col min="6" max="7" width="12.28515625" bestFit="1" customWidth="1"/>
  </cols>
  <sheetData>
    <row r="1" spans="1:7" x14ac:dyDescent="0.25">
      <c r="A1" s="124" t="s">
        <v>36</v>
      </c>
      <c r="B1" s="124"/>
      <c r="C1" s="124"/>
      <c r="D1" s="124"/>
      <c r="E1" s="124"/>
      <c r="F1" s="124"/>
    </row>
    <row r="2" spans="1:7" ht="15.75" thickBot="1" x14ac:dyDescent="0.3">
      <c r="A2" s="10" t="s">
        <v>43</v>
      </c>
      <c r="B2" s="10" t="s">
        <v>44</v>
      </c>
      <c r="C2" s="10" t="s">
        <v>45</v>
      </c>
      <c r="D2" s="10" t="s">
        <v>46</v>
      </c>
    </row>
    <row r="3" spans="1:7" x14ac:dyDescent="0.25">
      <c r="A3" s="11" t="s">
        <v>104</v>
      </c>
      <c r="B3" s="7">
        <v>100000</v>
      </c>
      <c r="C3" s="14">
        <v>28</v>
      </c>
      <c r="D3" s="89">
        <f>(B3*C3)</f>
        <v>2800000</v>
      </c>
      <c r="E3" s="130" t="s">
        <v>149</v>
      </c>
    </row>
    <row r="4" spans="1:7" x14ac:dyDescent="0.25">
      <c r="A4" s="11" t="s">
        <v>7</v>
      </c>
      <c r="B4" s="7">
        <v>100000</v>
      </c>
      <c r="C4" s="14">
        <v>28</v>
      </c>
      <c r="D4" s="89">
        <f t="shared" ref="D4:D14" si="0">(B4*C4)</f>
        <v>2800000</v>
      </c>
      <c r="E4" s="121"/>
      <c r="F4" s="4"/>
    </row>
    <row r="5" spans="1:7" x14ac:dyDescent="0.25">
      <c r="A5" s="11" t="s">
        <v>106</v>
      </c>
      <c r="B5" s="7">
        <v>100000</v>
      </c>
      <c r="C5" s="14">
        <v>28</v>
      </c>
      <c r="D5" s="89">
        <f t="shared" si="0"/>
        <v>2800000</v>
      </c>
      <c r="E5" s="121"/>
    </row>
    <row r="6" spans="1:7" x14ac:dyDescent="0.25">
      <c r="A6" s="11" t="s">
        <v>107</v>
      </c>
      <c r="B6" s="7">
        <v>100000</v>
      </c>
      <c r="C6" s="14">
        <v>28</v>
      </c>
      <c r="D6" s="89">
        <f t="shared" si="0"/>
        <v>2800000</v>
      </c>
      <c r="E6" s="121"/>
    </row>
    <row r="7" spans="1:7" x14ac:dyDescent="0.25">
      <c r="A7" s="11" t="s">
        <v>108</v>
      </c>
      <c r="B7" s="7">
        <v>110000</v>
      </c>
      <c r="C7" s="14">
        <v>28</v>
      </c>
      <c r="D7" s="89">
        <f t="shared" si="0"/>
        <v>3080000</v>
      </c>
      <c r="E7" s="121" t="s">
        <v>150</v>
      </c>
    </row>
    <row r="8" spans="1:7" x14ac:dyDescent="0.25">
      <c r="A8" s="11" t="s">
        <v>122</v>
      </c>
      <c r="B8" s="7">
        <v>110000</v>
      </c>
      <c r="C8" s="14">
        <v>28</v>
      </c>
      <c r="D8" s="89">
        <f t="shared" si="0"/>
        <v>3080000</v>
      </c>
      <c r="E8" s="121"/>
      <c r="F8" s="8"/>
    </row>
    <row r="9" spans="1:7" x14ac:dyDescent="0.25">
      <c r="A9" s="11" t="s">
        <v>125</v>
      </c>
      <c r="B9" s="7">
        <v>110000</v>
      </c>
      <c r="C9" s="14">
        <v>28</v>
      </c>
      <c r="D9" s="89">
        <f t="shared" si="0"/>
        <v>3080000</v>
      </c>
      <c r="E9" s="121"/>
    </row>
    <row r="10" spans="1:7" x14ac:dyDescent="0.25">
      <c r="A10" s="11" t="s">
        <v>128</v>
      </c>
      <c r="B10" s="7">
        <v>110000</v>
      </c>
      <c r="C10" s="14">
        <v>28</v>
      </c>
      <c r="D10" s="89">
        <f t="shared" si="0"/>
        <v>3080000</v>
      </c>
      <c r="E10" s="121"/>
      <c r="G10" s="8"/>
    </row>
    <row r="11" spans="1:7" x14ac:dyDescent="0.25">
      <c r="A11" s="11" t="s">
        <v>126</v>
      </c>
      <c r="B11" s="7">
        <v>150000</v>
      </c>
      <c r="C11" s="14">
        <v>20</v>
      </c>
      <c r="D11" s="89">
        <f t="shared" si="0"/>
        <v>3000000</v>
      </c>
      <c r="E11" s="121" t="s">
        <v>151</v>
      </c>
    </row>
    <row r="12" spans="1:7" x14ac:dyDescent="0.25">
      <c r="A12" s="11" t="s">
        <v>127</v>
      </c>
      <c r="B12" s="7">
        <v>150000</v>
      </c>
      <c r="C12" s="14">
        <v>20</v>
      </c>
      <c r="D12" s="89">
        <f t="shared" si="0"/>
        <v>3000000</v>
      </c>
      <c r="E12" s="121"/>
    </row>
    <row r="13" spans="1:7" x14ac:dyDescent="0.25">
      <c r="A13" s="11" t="s">
        <v>133</v>
      </c>
      <c r="B13" s="7">
        <v>110000</v>
      </c>
      <c r="C13" s="14">
        <v>28</v>
      </c>
      <c r="D13" s="89">
        <f t="shared" si="0"/>
        <v>3080000</v>
      </c>
      <c r="E13" s="121" t="s">
        <v>152</v>
      </c>
    </row>
    <row r="14" spans="1:7" ht="15.75" thickBot="1" x14ac:dyDescent="0.3">
      <c r="A14" s="11" t="s">
        <v>134</v>
      </c>
      <c r="B14" s="7">
        <v>110000</v>
      </c>
      <c r="C14" s="14">
        <v>28</v>
      </c>
      <c r="D14" s="89">
        <f t="shared" si="0"/>
        <v>3080000</v>
      </c>
      <c r="E14" s="122"/>
    </row>
    <row r="15" spans="1:7" x14ac:dyDescent="0.25">
      <c r="B15" t="s">
        <v>59</v>
      </c>
      <c r="D15" s="8">
        <f>SUM(D3:D14)</f>
        <v>35680000</v>
      </c>
      <c r="F15" s="126" t="s">
        <v>168</v>
      </c>
      <c r="G15" s="127"/>
    </row>
    <row r="16" spans="1:7" x14ac:dyDescent="0.25">
      <c r="D16" s="8"/>
      <c r="E16" s="8"/>
      <c r="F16" s="126"/>
      <c r="G16" s="127"/>
    </row>
    <row r="17" spans="1:7" x14ac:dyDescent="0.25">
      <c r="F17" s="128">
        <f>D15+D32+D47</f>
        <v>104200000</v>
      </c>
      <c r="G17" s="129"/>
    </row>
    <row r="18" spans="1:7" x14ac:dyDescent="0.25">
      <c r="A18" s="125"/>
      <c r="B18" s="125"/>
      <c r="C18" s="125"/>
      <c r="D18" s="125"/>
      <c r="E18" s="125"/>
      <c r="F18" s="125"/>
    </row>
    <row r="19" spans="1:7" ht="15.75" thickBot="1" x14ac:dyDescent="0.3">
      <c r="A19" s="10" t="s">
        <v>43</v>
      </c>
      <c r="B19" s="10" t="s">
        <v>44</v>
      </c>
      <c r="C19" s="10" t="s">
        <v>45</v>
      </c>
      <c r="D19" s="10" t="s">
        <v>46</v>
      </c>
    </row>
    <row r="20" spans="1:7" x14ac:dyDescent="0.25">
      <c r="A20" s="11" t="s">
        <v>104</v>
      </c>
      <c r="B20" s="7">
        <v>35000</v>
      </c>
      <c r="C20" s="14">
        <v>84</v>
      </c>
      <c r="D20" s="89">
        <f>(B20*C20)</f>
        <v>2940000</v>
      </c>
      <c r="E20" s="131" t="s">
        <v>149</v>
      </c>
    </row>
    <row r="21" spans="1:7" x14ac:dyDescent="0.25">
      <c r="A21" s="11" t="s">
        <v>7</v>
      </c>
      <c r="B21" s="7">
        <v>35000</v>
      </c>
      <c r="C21" s="14">
        <v>84</v>
      </c>
      <c r="D21" s="89">
        <f t="shared" ref="D21:D31" si="1">(B21*C21)</f>
        <v>2940000</v>
      </c>
      <c r="E21" s="132"/>
    </row>
    <row r="22" spans="1:7" x14ac:dyDescent="0.25">
      <c r="A22" s="11" t="s">
        <v>106</v>
      </c>
      <c r="B22" s="7">
        <v>35000</v>
      </c>
      <c r="C22" s="14">
        <v>84</v>
      </c>
      <c r="D22" s="89">
        <f t="shared" si="1"/>
        <v>2940000</v>
      </c>
      <c r="E22" s="132"/>
    </row>
    <row r="23" spans="1:7" x14ac:dyDescent="0.25">
      <c r="A23" s="11" t="s">
        <v>107</v>
      </c>
      <c r="B23" s="7">
        <v>35000</v>
      </c>
      <c r="C23" s="14">
        <v>84</v>
      </c>
      <c r="D23" s="89">
        <f t="shared" si="1"/>
        <v>2940000</v>
      </c>
      <c r="E23" s="132"/>
    </row>
    <row r="24" spans="1:7" x14ac:dyDescent="0.25">
      <c r="A24" s="11" t="s">
        <v>108</v>
      </c>
      <c r="B24" s="7">
        <v>40000</v>
      </c>
      <c r="C24" s="14">
        <v>72</v>
      </c>
      <c r="D24" s="89">
        <f t="shared" si="1"/>
        <v>2880000</v>
      </c>
      <c r="E24" s="132" t="s">
        <v>150</v>
      </c>
    </row>
    <row r="25" spans="1:7" x14ac:dyDescent="0.25">
      <c r="A25" s="11" t="s">
        <v>122</v>
      </c>
      <c r="B25" s="7">
        <v>40000</v>
      </c>
      <c r="C25" s="14">
        <v>72</v>
      </c>
      <c r="D25" s="89">
        <f t="shared" si="1"/>
        <v>2880000</v>
      </c>
      <c r="E25" s="132"/>
    </row>
    <row r="26" spans="1:7" x14ac:dyDescent="0.25">
      <c r="A26" s="11" t="s">
        <v>125</v>
      </c>
      <c r="B26" s="7">
        <v>40000</v>
      </c>
      <c r="C26" s="14">
        <v>72</v>
      </c>
      <c r="D26" s="89">
        <f t="shared" si="1"/>
        <v>2880000</v>
      </c>
      <c r="E26" s="132"/>
      <c r="F26" s="8"/>
    </row>
    <row r="27" spans="1:7" x14ac:dyDescent="0.25">
      <c r="A27" s="11" t="s">
        <v>128</v>
      </c>
      <c r="B27" s="7">
        <v>40000</v>
      </c>
      <c r="C27" s="14">
        <v>72</v>
      </c>
      <c r="D27" s="89">
        <f t="shared" si="1"/>
        <v>2880000</v>
      </c>
      <c r="E27" s="132"/>
    </row>
    <row r="28" spans="1:7" x14ac:dyDescent="0.25">
      <c r="A28" s="11" t="s">
        <v>126</v>
      </c>
      <c r="B28" s="7">
        <v>50000</v>
      </c>
      <c r="C28" s="14">
        <v>60</v>
      </c>
      <c r="D28" s="89">
        <f t="shared" si="1"/>
        <v>3000000</v>
      </c>
      <c r="E28" s="132" t="s">
        <v>151</v>
      </c>
    </row>
    <row r="29" spans="1:7" x14ac:dyDescent="0.25">
      <c r="A29" s="11" t="s">
        <v>127</v>
      </c>
      <c r="B29" s="7">
        <v>50000</v>
      </c>
      <c r="C29" s="14">
        <v>60</v>
      </c>
      <c r="D29" s="89">
        <f t="shared" si="1"/>
        <v>3000000</v>
      </c>
      <c r="E29" s="132"/>
    </row>
    <row r="30" spans="1:7" x14ac:dyDescent="0.25">
      <c r="A30" s="11" t="s">
        <v>133</v>
      </c>
      <c r="B30" s="7">
        <v>40000</v>
      </c>
      <c r="C30" s="14">
        <v>72</v>
      </c>
      <c r="D30" s="89">
        <f t="shared" si="1"/>
        <v>2880000</v>
      </c>
      <c r="E30" s="132" t="s">
        <v>152</v>
      </c>
    </row>
    <row r="31" spans="1:7" ht="15.75" thickBot="1" x14ac:dyDescent="0.3">
      <c r="A31" s="11" t="s">
        <v>134</v>
      </c>
      <c r="B31" s="7">
        <v>40000</v>
      </c>
      <c r="C31" s="14">
        <v>72</v>
      </c>
      <c r="D31" s="89">
        <f t="shared" si="1"/>
        <v>2880000</v>
      </c>
      <c r="E31" s="133"/>
    </row>
    <row r="32" spans="1:7" x14ac:dyDescent="0.25">
      <c r="A32" s="123" t="s">
        <v>59</v>
      </c>
      <c r="B32" s="123"/>
      <c r="C32" s="123"/>
      <c r="D32" s="8">
        <f>SUM(D20:D31)</f>
        <v>35040000</v>
      </c>
    </row>
    <row r="34" spans="1:5" ht="15.75" thickBot="1" x14ac:dyDescent="0.3">
      <c r="A34" s="10" t="s">
        <v>43</v>
      </c>
      <c r="B34" s="10" t="s">
        <v>44</v>
      </c>
      <c r="C34" s="10" t="s">
        <v>45</v>
      </c>
      <c r="D34" s="10" t="s">
        <v>46</v>
      </c>
    </row>
    <row r="35" spans="1:5" x14ac:dyDescent="0.25">
      <c r="A35" s="11" t="s">
        <v>104</v>
      </c>
      <c r="B35" s="7">
        <v>120000</v>
      </c>
      <c r="C35" s="14">
        <v>24</v>
      </c>
      <c r="D35" s="89">
        <f>(B35*C35)</f>
        <v>2880000</v>
      </c>
      <c r="E35" s="130" t="s">
        <v>149</v>
      </c>
    </row>
    <row r="36" spans="1:5" x14ac:dyDescent="0.25">
      <c r="A36" s="11" t="s">
        <v>7</v>
      </c>
      <c r="B36" s="7">
        <v>120000</v>
      </c>
      <c r="C36" s="14">
        <v>24</v>
      </c>
      <c r="D36" s="89">
        <f t="shared" ref="D36:D46" si="2">(B36*C36)</f>
        <v>2880000</v>
      </c>
      <c r="E36" s="121"/>
    </row>
    <row r="37" spans="1:5" x14ac:dyDescent="0.25">
      <c r="A37" s="11" t="s">
        <v>106</v>
      </c>
      <c r="B37" s="7">
        <v>120000</v>
      </c>
      <c r="C37" s="14">
        <v>24</v>
      </c>
      <c r="D37" s="89">
        <f t="shared" si="2"/>
        <v>2880000</v>
      </c>
      <c r="E37" s="121"/>
    </row>
    <row r="38" spans="1:5" x14ac:dyDescent="0.25">
      <c r="A38" s="11" t="s">
        <v>107</v>
      </c>
      <c r="B38" s="7">
        <v>120000</v>
      </c>
      <c r="C38" s="14">
        <v>24</v>
      </c>
      <c r="D38" s="89">
        <f t="shared" si="2"/>
        <v>2880000</v>
      </c>
      <c r="E38" s="121"/>
    </row>
    <row r="39" spans="1:5" x14ac:dyDescent="0.25">
      <c r="A39" s="11" t="s">
        <v>108</v>
      </c>
      <c r="B39" s="7">
        <v>135000</v>
      </c>
      <c r="C39" s="14">
        <v>20</v>
      </c>
      <c r="D39" s="89">
        <f t="shared" si="2"/>
        <v>2700000</v>
      </c>
      <c r="E39" s="121" t="s">
        <v>150</v>
      </c>
    </row>
    <row r="40" spans="1:5" x14ac:dyDescent="0.25">
      <c r="A40" s="11" t="s">
        <v>122</v>
      </c>
      <c r="B40" s="7">
        <v>135000</v>
      </c>
      <c r="C40" s="14">
        <v>20</v>
      </c>
      <c r="D40" s="89">
        <f t="shared" si="2"/>
        <v>2700000</v>
      </c>
      <c r="E40" s="121"/>
    </row>
    <row r="41" spans="1:5" x14ac:dyDescent="0.25">
      <c r="A41" s="11" t="s">
        <v>125</v>
      </c>
      <c r="B41" s="7">
        <v>135000</v>
      </c>
      <c r="C41" s="14">
        <v>20</v>
      </c>
      <c r="D41" s="89">
        <f t="shared" si="2"/>
        <v>2700000</v>
      </c>
      <c r="E41" s="121"/>
    </row>
    <row r="42" spans="1:5" x14ac:dyDescent="0.25">
      <c r="A42" s="11" t="s">
        <v>128</v>
      </c>
      <c r="B42" s="7">
        <v>135000</v>
      </c>
      <c r="C42" s="14">
        <v>20</v>
      </c>
      <c r="D42" s="89">
        <f t="shared" si="2"/>
        <v>2700000</v>
      </c>
      <c r="E42" s="121"/>
    </row>
    <row r="43" spans="1:5" x14ac:dyDescent="0.25">
      <c r="A43" s="11" t="s">
        <v>126</v>
      </c>
      <c r="B43" s="7">
        <v>180000</v>
      </c>
      <c r="C43" s="14">
        <v>16</v>
      </c>
      <c r="D43" s="89">
        <f t="shared" si="2"/>
        <v>2880000</v>
      </c>
      <c r="E43" s="121" t="s">
        <v>151</v>
      </c>
    </row>
    <row r="44" spans="1:5" x14ac:dyDescent="0.25">
      <c r="A44" s="11" t="s">
        <v>127</v>
      </c>
      <c r="B44" s="7">
        <v>180000</v>
      </c>
      <c r="C44" s="14">
        <v>16</v>
      </c>
      <c r="D44" s="89">
        <f t="shared" si="2"/>
        <v>2880000</v>
      </c>
      <c r="E44" s="121"/>
    </row>
    <row r="45" spans="1:5" x14ac:dyDescent="0.25">
      <c r="A45" s="11" t="s">
        <v>133</v>
      </c>
      <c r="B45" s="7">
        <v>135000</v>
      </c>
      <c r="C45" s="14">
        <v>20</v>
      </c>
      <c r="D45" s="89">
        <f t="shared" si="2"/>
        <v>2700000</v>
      </c>
      <c r="E45" s="121" t="s">
        <v>152</v>
      </c>
    </row>
    <row r="46" spans="1:5" ht="15.75" thickBot="1" x14ac:dyDescent="0.3">
      <c r="A46" s="11" t="s">
        <v>134</v>
      </c>
      <c r="B46" s="7">
        <v>135000</v>
      </c>
      <c r="C46" s="14">
        <v>20</v>
      </c>
      <c r="D46" s="89">
        <f t="shared" si="2"/>
        <v>2700000</v>
      </c>
      <c r="E46" s="122"/>
    </row>
    <row r="47" spans="1:5" x14ac:dyDescent="0.25">
      <c r="A47" s="123" t="s">
        <v>59</v>
      </c>
      <c r="B47" s="123"/>
      <c r="C47" s="123"/>
      <c r="D47" s="8">
        <f>SUM(D35:D46)</f>
        <v>33480000</v>
      </c>
      <c r="E47" s="50"/>
    </row>
  </sheetData>
  <mergeCells count="18">
    <mergeCell ref="E35:E38"/>
    <mergeCell ref="E39:E42"/>
    <mergeCell ref="E43:E44"/>
    <mergeCell ref="E45:E46"/>
    <mergeCell ref="A47:C47"/>
    <mergeCell ref="A1:F1"/>
    <mergeCell ref="A18:F18"/>
    <mergeCell ref="F15:G16"/>
    <mergeCell ref="F17:G17"/>
    <mergeCell ref="A32:C32"/>
    <mergeCell ref="E3:E6"/>
    <mergeCell ref="E7:E10"/>
    <mergeCell ref="E11:E12"/>
    <mergeCell ref="E13:E14"/>
    <mergeCell ref="E20:E23"/>
    <mergeCell ref="E24:E27"/>
    <mergeCell ref="E28:E29"/>
    <mergeCell ref="E30:E3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topLeftCell="A19" workbookViewId="0">
      <selection activeCell="B41" sqref="B41"/>
    </sheetView>
  </sheetViews>
  <sheetFormatPr baseColWidth="10" defaultRowHeight="15" x14ac:dyDescent="0.25"/>
  <cols>
    <col min="2" max="2" width="11.85546875" bestFit="1" customWidth="1"/>
    <col min="3" max="3" width="12.28515625" bestFit="1" customWidth="1"/>
    <col min="5" max="5" width="12.28515625" bestFit="1" customWidth="1"/>
    <col min="6" max="6" width="11.28515625" customWidth="1"/>
    <col min="7" max="8" width="12.28515625" bestFit="1" customWidth="1"/>
  </cols>
  <sheetData>
    <row r="1" spans="1:18" ht="15.75" thickBot="1" x14ac:dyDescent="0.3">
      <c r="A1" t="s">
        <v>169</v>
      </c>
    </row>
    <row r="2" spans="1:18" x14ac:dyDescent="0.25">
      <c r="A2" s="92" t="s">
        <v>101</v>
      </c>
      <c r="B2" s="93"/>
      <c r="C2" s="74"/>
      <c r="D2" s="74"/>
      <c r="E2" s="74"/>
      <c r="F2" s="75"/>
      <c r="G2" s="92" t="s">
        <v>170</v>
      </c>
      <c r="H2" s="93"/>
      <c r="I2" s="74"/>
      <c r="J2" s="74"/>
      <c r="K2" s="74"/>
      <c r="L2" s="75"/>
      <c r="M2" s="92" t="s">
        <v>153</v>
      </c>
      <c r="N2" s="93"/>
      <c r="O2" s="74"/>
      <c r="P2" s="74"/>
      <c r="Q2" s="74"/>
      <c r="R2" s="75"/>
    </row>
    <row r="3" spans="1:18" x14ac:dyDescent="0.25">
      <c r="A3" s="76" t="s">
        <v>60</v>
      </c>
      <c r="B3" s="13" t="s">
        <v>66</v>
      </c>
      <c r="C3" s="13"/>
      <c r="D3" s="13"/>
      <c r="E3" s="13"/>
      <c r="F3" s="78"/>
      <c r="G3" s="76" t="s">
        <v>60</v>
      </c>
      <c r="H3" s="13" t="s">
        <v>66</v>
      </c>
      <c r="I3" s="13"/>
      <c r="J3" s="13"/>
      <c r="K3" s="13"/>
      <c r="L3" s="78"/>
      <c r="M3" s="76" t="s">
        <v>60</v>
      </c>
      <c r="N3" s="13" t="s">
        <v>66</v>
      </c>
      <c r="O3" s="13"/>
      <c r="P3" s="13"/>
      <c r="Q3" s="13"/>
      <c r="R3" s="78"/>
    </row>
    <row r="4" spans="1:18" x14ac:dyDescent="0.25">
      <c r="A4" s="76"/>
      <c r="B4" s="13"/>
      <c r="C4" s="13"/>
      <c r="D4" s="13"/>
      <c r="E4" s="13"/>
      <c r="F4" s="78"/>
      <c r="G4" s="76"/>
      <c r="H4" s="13"/>
      <c r="I4" s="13"/>
      <c r="J4" s="13"/>
      <c r="K4" s="13"/>
      <c r="L4" s="78"/>
      <c r="M4" s="76"/>
      <c r="N4" s="13"/>
      <c r="O4" s="13"/>
      <c r="P4" s="13"/>
      <c r="Q4" s="13"/>
      <c r="R4" s="78"/>
    </row>
    <row r="5" spans="1:18" x14ac:dyDescent="0.25">
      <c r="A5" s="76" t="s">
        <v>61</v>
      </c>
      <c r="B5" s="166">
        <f>('COSTO UNITARIO'!B7/150000)</f>
        <v>4.9153983333333331</v>
      </c>
      <c r="C5" s="167"/>
      <c r="D5" s="167"/>
      <c r="E5" s="168"/>
      <c r="F5" s="78"/>
      <c r="G5" s="76" t="s">
        <v>61</v>
      </c>
      <c r="H5" s="166">
        <f>('COSTO UNITARIO'!B7/100000)</f>
        <v>7.3730975000000001</v>
      </c>
      <c r="I5" s="167"/>
      <c r="J5" s="167"/>
      <c r="K5" s="168"/>
      <c r="L5" s="78"/>
      <c r="M5" s="76" t="s">
        <v>61</v>
      </c>
      <c r="N5" s="166">
        <f>('COSTO UNITARIO'!B7/110000)</f>
        <v>6.7028159090909094</v>
      </c>
      <c r="O5" s="167"/>
      <c r="P5" s="167"/>
      <c r="Q5" s="168"/>
      <c r="R5" s="78"/>
    </row>
    <row r="6" spans="1:18" x14ac:dyDescent="0.25">
      <c r="A6" s="76"/>
      <c r="B6" s="13"/>
      <c r="C6" s="13"/>
      <c r="D6" s="13"/>
      <c r="E6" s="169"/>
      <c r="F6" s="170"/>
      <c r="G6" s="76"/>
      <c r="H6" s="13"/>
      <c r="I6" s="13"/>
      <c r="J6" s="13"/>
      <c r="K6" s="169"/>
      <c r="L6" s="170"/>
      <c r="M6" s="76"/>
      <c r="N6" s="13"/>
      <c r="O6" s="13"/>
      <c r="P6" s="13"/>
      <c r="Q6" s="169"/>
      <c r="R6" s="170"/>
    </row>
    <row r="7" spans="1:18" x14ac:dyDescent="0.25">
      <c r="A7" s="171" t="s">
        <v>64</v>
      </c>
      <c r="B7" s="172">
        <f>B5</f>
        <v>4.9153983333333331</v>
      </c>
      <c r="C7" s="13"/>
      <c r="D7" s="13"/>
      <c r="E7" s="13"/>
      <c r="F7" s="78"/>
      <c r="G7" s="171" t="s">
        <v>64</v>
      </c>
      <c r="H7" s="172">
        <f>H5</f>
        <v>7.3730975000000001</v>
      </c>
      <c r="I7" s="13"/>
      <c r="J7" s="13"/>
      <c r="K7" s="13"/>
      <c r="L7" s="78"/>
      <c r="M7" s="171" t="s">
        <v>64</v>
      </c>
      <c r="N7" s="172">
        <f>N5</f>
        <v>6.7028159090909094</v>
      </c>
      <c r="O7" s="13"/>
      <c r="P7" s="13"/>
      <c r="Q7" s="13"/>
      <c r="R7" s="78"/>
    </row>
    <row r="8" spans="1:18" x14ac:dyDescent="0.25">
      <c r="A8" s="76"/>
      <c r="B8" s="13"/>
      <c r="C8" s="13"/>
      <c r="D8" s="13"/>
      <c r="E8" s="13"/>
      <c r="F8" s="78"/>
      <c r="G8" s="76"/>
      <c r="H8" s="13"/>
      <c r="I8" s="13"/>
      <c r="J8" s="13"/>
      <c r="K8" s="13"/>
      <c r="L8" s="78"/>
      <c r="M8" s="76"/>
      <c r="N8" s="13"/>
      <c r="O8" s="13"/>
      <c r="P8" s="13"/>
      <c r="Q8" s="13"/>
      <c r="R8" s="78"/>
    </row>
    <row r="9" spans="1:18" x14ac:dyDescent="0.25">
      <c r="A9" s="173" t="s">
        <v>67</v>
      </c>
      <c r="B9" s="174"/>
      <c r="C9" s="174"/>
      <c r="D9" s="174"/>
      <c r="E9" s="174"/>
      <c r="F9" s="175"/>
      <c r="G9" s="173" t="s">
        <v>172</v>
      </c>
      <c r="H9" s="174"/>
      <c r="I9" s="174"/>
      <c r="J9" s="174"/>
      <c r="K9" s="174"/>
      <c r="L9" s="175"/>
      <c r="M9" s="173" t="s">
        <v>172</v>
      </c>
      <c r="N9" s="174"/>
      <c r="O9" s="174"/>
      <c r="P9" s="174"/>
      <c r="Q9" s="174"/>
      <c r="R9" s="175"/>
    </row>
    <row r="10" spans="1:18" x14ac:dyDescent="0.25">
      <c r="A10" s="173"/>
      <c r="B10" s="174"/>
      <c r="C10" s="174"/>
      <c r="D10" s="174"/>
      <c r="E10" s="174"/>
      <c r="F10" s="175"/>
      <c r="G10" s="173"/>
      <c r="H10" s="174"/>
      <c r="I10" s="174"/>
      <c r="J10" s="174"/>
      <c r="K10" s="174"/>
      <c r="L10" s="175"/>
      <c r="M10" s="173"/>
      <c r="N10" s="174"/>
      <c r="O10" s="174"/>
      <c r="P10" s="174"/>
      <c r="Q10" s="174"/>
      <c r="R10" s="175"/>
    </row>
    <row r="11" spans="1:18" x14ac:dyDescent="0.25">
      <c r="A11" s="173"/>
      <c r="B11" s="174"/>
      <c r="C11" s="174"/>
      <c r="D11" s="174"/>
      <c r="E11" s="174"/>
      <c r="F11" s="175"/>
      <c r="G11" s="173"/>
      <c r="H11" s="174"/>
      <c r="I11" s="174"/>
      <c r="J11" s="174"/>
      <c r="K11" s="174"/>
      <c r="L11" s="175"/>
      <c r="M11" s="173"/>
      <c r="N11" s="174"/>
      <c r="O11" s="174"/>
      <c r="P11" s="174"/>
      <c r="Q11" s="174"/>
      <c r="R11" s="175"/>
    </row>
    <row r="12" spans="1:18" x14ac:dyDescent="0.25">
      <c r="A12" s="76"/>
      <c r="B12" s="13"/>
      <c r="C12" s="13"/>
      <c r="D12" s="13"/>
      <c r="E12" s="13"/>
      <c r="F12" s="78"/>
      <c r="G12" s="76"/>
      <c r="H12" s="13"/>
      <c r="I12" s="13"/>
      <c r="J12" s="13"/>
      <c r="K12" s="13"/>
      <c r="L12" s="78"/>
      <c r="M12" s="76"/>
      <c r="N12" s="13"/>
      <c r="O12" s="13"/>
      <c r="P12" s="13"/>
      <c r="Q12" s="13"/>
      <c r="R12" s="78"/>
    </row>
    <row r="13" spans="1:18" x14ac:dyDescent="0.25">
      <c r="A13" s="76" t="s">
        <v>42</v>
      </c>
      <c r="B13" s="13" t="s">
        <v>62</v>
      </c>
      <c r="C13" s="13" t="s">
        <v>63</v>
      </c>
      <c r="D13" s="13"/>
      <c r="E13" s="13"/>
      <c r="F13" s="78"/>
      <c r="G13" s="76" t="s">
        <v>42</v>
      </c>
      <c r="H13" s="13" t="s">
        <v>62</v>
      </c>
      <c r="I13" s="13" t="s">
        <v>63</v>
      </c>
      <c r="J13" s="13"/>
      <c r="K13" s="13"/>
      <c r="L13" s="78"/>
      <c r="M13" s="76" t="s">
        <v>42</v>
      </c>
      <c r="N13" s="13" t="s">
        <v>62</v>
      </c>
      <c r="O13" s="13" t="s">
        <v>63</v>
      </c>
      <c r="P13" s="13"/>
      <c r="Q13" s="13"/>
      <c r="R13" s="78"/>
    </row>
    <row r="14" spans="1:18" x14ac:dyDescent="0.25">
      <c r="A14" s="176">
        <v>150000</v>
      </c>
      <c r="B14" s="169">
        <f>B7</f>
        <v>4.9153983333333331</v>
      </c>
      <c r="C14" s="177">
        <f>A14*B14</f>
        <v>737309.75</v>
      </c>
      <c r="D14" s="13"/>
      <c r="E14" s="13"/>
      <c r="F14" s="78"/>
      <c r="G14" s="176">
        <v>100000</v>
      </c>
      <c r="H14" s="169">
        <f>H7</f>
        <v>7.3730975000000001</v>
      </c>
      <c r="I14" s="177">
        <f>G14*H14</f>
        <v>737309.75</v>
      </c>
      <c r="J14" s="13"/>
      <c r="K14" s="13"/>
      <c r="L14" s="78"/>
      <c r="M14" s="176">
        <v>110000</v>
      </c>
      <c r="N14" s="169">
        <f>N7</f>
        <v>6.7028159090909094</v>
      </c>
      <c r="O14" s="177">
        <f>M14*N14</f>
        <v>737309.75</v>
      </c>
      <c r="P14" s="13"/>
      <c r="Q14" s="13"/>
      <c r="R14" s="78"/>
    </row>
    <row r="15" spans="1:18" x14ac:dyDescent="0.25">
      <c r="A15" s="76"/>
      <c r="B15" s="13"/>
      <c r="C15" s="13"/>
      <c r="D15" s="13"/>
      <c r="E15" s="13"/>
      <c r="F15" s="78"/>
      <c r="G15" s="76"/>
      <c r="H15" s="13"/>
      <c r="I15" s="13"/>
      <c r="J15" s="13"/>
      <c r="K15" s="13"/>
      <c r="L15" s="78"/>
      <c r="M15" s="76"/>
      <c r="N15" s="13"/>
      <c r="O15" s="13"/>
      <c r="P15" s="13"/>
      <c r="Q15" s="13"/>
      <c r="R15" s="78"/>
    </row>
    <row r="16" spans="1:18" x14ac:dyDescent="0.25">
      <c r="A16" s="173" t="s">
        <v>145</v>
      </c>
      <c r="B16" s="174"/>
      <c r="C16" s="174"/>
      <c r="D16" s="174"/>
      <c r="E16" s="174"/>
      <c r="F16" s="175"/>
      <c r="G16" s="173" t="s">
        <v>171</v>
      </c>
      <c r="H16" s="174"/>
      <c r="I16" s="174"/>
      <c r="J16" s="174"/>
      <c r="K16" s="174"/>
      <c r="L16" s="175"/>
      <c r="M16" s="173" t="s">
        <v>177</v>
      </c>
      <c r="N16" s="174"/>
      <c r="O16" s="174"/>
      <c r="P16" s="174"/>
      <c r="Q16" s="174"/>
      <c r="R16" s="175"/>
    </row>
    <row r="17" spans="1:18" x14ac:dyDescent="0.25">
      <c r="A17" s="173"/>
      <c r="B17" s="174"/>
      <c r="C17" s="174"/>
      <c r="D17" s="174"/>
      <c r="E17" s="174"/>
      <c r="F17" s="175"/>
      <c r="G17" s="173"/>
      <c r="H17" s="174"/>
      <c r="I17" s="174"/>
      <c r="J17" s="174"/>
      <c r="K17" s="174"/>
      <c r="L17" s="175"/>
      <c r="M17" s="173"/>
      <c r="N17" s="174"/>
      <c r="O17" s="174"/>
      <c r="P17" s="174"/>
      <c r="Q17" s="174"/>
      <c r="R17" s="175"/>
    </row>
    <row r="18" spans="1:18" ht="15.75" thickBot="1" x14ac:dyDescent="0.3">
      <c r="A18" s="178"/>
      <c r="B18" s="179"/>
      <c r="C18" s="179"/>
      <c r="D18" s="179"/>
      <c r="E18" s="179"/>
      <c r="F18" s="180"/>
      <c r="G18" s="178"/>
      <c r="H18" s="179"/>
      <c r="I18" s="179"/>
      <c r="J18" s="179"/>
      <c r="K18" s="179"/>
      <c r="L18" s="180"/>
      <c r="M18" s="178"/>
      <c r="N18" s="179"/>
      <c r="O18" s="179"/>
      <c r="P18" s="179"/>
      <c r="Q18" s="179"/>
      <c r="R18" s="180"/>
    </row>
    <row r="19" spans="1:18" x14ac:dyDescent="0.25">
      <c r="A19" s="92" t="s">
        <v>138</v>
      </c>
      <c r="B19" s="93"/>
      <c r="C19" s="74"/>
      <c r="D19" s="74"/>
      <c r="E19" s="74"/>
      <c r="F19" s="75"/>
      <c r="G19" s="92" t="s">
        <v>170</v>
      </c>
      <c r="H19" s="93"/>
      <c r="I19" s="74"/>
      <c r="J19" s="74"/>
      <c r="K19" s="74"/>
      <c r="L19" s="75"/>
      <c r="M19" s="92" t="s">
        <v>153</v>
      </c>
      <c r="N19" s="93"/>
      <c r="O19" s="74"/>
      <c r="P19" s="74"/>
      <c r="Q19" s="74"/>
      <c r="R19" s="75"/>
    </row>
    <row r="20" spans="1:18" x14ac:dyDescent="0.25">
      <c r="A20" s="76" t="s">
        <v>60</v>
      </c>
      <c r="B20" s="13" t="s">
        <v>66</v>
      </c>
      <c r="C20" s="13"/>
      <c r="D20" s="13"/>
      <c r="E20" s="13"/>
      <c r="F20" s="78"/>
      <c r="G20" s="76" t="s">
        <v>60</v>
      </c>
      <c r="H20" s="13" t="s">
        <v>66</v>
      </c>
      <c r="I20" s="13"/>
      <c r="J20" s="13"/>
      <c r="K20" s="13"/>
      <c r="L20" s="78"/>
      <c r="M20" s="76" t="s">
        <v>60</v>
      </c>
      <c r="N20" s="13" t="s">
        <v>66</v>
      </c>
      <c r="O20" s="13"/>
      <c r="P20" s="13"/>
      <c r="Q20" s="13"/>
      <c r="R20" s="78"/>
    </row>
    <row r="21" spans="1:18" x14ac:dyDescent="0.25">
      <c r="A21" s="76"/>
      <c r="B21" s="13"/>
      <c r="C21" s="13"/>
      <c r="D21" s="13"/>
      <c r="E21" s="169"/>
      <c r="F21" s="170"/>
      <c r="G21" s="76"/>
      <c r="H21" s="13"/>
      <c r="I21" s="13"/>
      <c r="J21" s="13"/>
      <c r="K21" s="169"/>
      <c r="L21" s="170"/>
      <c r="M21" s="76"/>
      <c r="N21" s="13"/>
      <c r="O21" s="13"/>
      <c r="P21" s="13"/>
      <c r="Q21" s="169"/>
      <c r="R21" s="170"/>
    </row>
    <row r="22" spans="1:18" x14ac:dyDescent="0.25">
      <c r="A22" s="76" t="s">
        <v>61</v>
      </c>
      <c r="B22" s="166">
        <f>('COSTO UNITARIO'!B25/50000)</f>
        <v>14.746195</v>
      </c>
      <c r="C22" s="166"/>
      <c r="D22" s="13"/>
      <c r="E22" s="13"/>
      <c r="F22" s="78"/>
      <c r="G22" s="76" t="s">
        <v>61</v>
      </c>
      <c r="H22" s="166">
        <f>('COSTO UNITARIO'!B25/35000)</f>
        <v>21.065992857142856</v>
      </c>
      <c r="I22" s="166"/>
      <c r="J22" s="13"/>
      <c r="K22" s="13"/>
      <c r="L22" s="78"/>
      <c r="M22" s="76" t="s">
        <v>61</v>
      </c>
      <c r="N22" s="166">
        <f>('COSTO UNITARIO'!B25/40000)</f>
        <v>18.43274375</v>
      </c>
      <c r="O22" s="166"/>
      <c r="P22" s="13"/>
      <c r="Q22" s="13"/>
      <c r="R22" s="78"/>
    </row>
    <row r="23" spans="1:18" x14ac:dyDescent="0.25">
      <c r="A23" s="76"/>
      <c r="B23" s="13"/>
      <c r="C23" s="13"/>
      <c r="D23" s="13"/>
      <c r="E23" s="13"/>
      <c r="F23" s="78"/>
      <c r="G23" s="76"/>
      <c r="H23" s="13"/>
      <c r="I23" s="13"/>
      <c r="J23" s="13"/>
      <c r="K23" s="13"/>
      <c r="L23" s="78"/>
      <c r="M23" s="76"/>
      <c r="N23" s="13"/>
      <c r="O23" s="13"/>
      <c r="P23" s="13"/>
      <c r="Q23" s="13"/>
      <c r="R23" s="78"/>
    </row>
    <row r="24" spans="1:18" x14ac:dyDescent="0.25">
      <c r="A24" s="171" t="s">
        <v>64</v>
      </c>
      <c r="B24" s="172">
        <f>B22</f>
        <v>14.746195</v>
      </c>
      <c r="C24" s="13"/>
      <c r="D24" s="13"/>
      <c r="E24" s="13"/>
      <c r="F24" s="78"/>
      <c r="G24" s="171" t="s">
        <v>64</v>
      </c>
      <c r="H24" s="172">
        <f>H22</f>
        <v>21.065992857142856</v>
      </c>
      <c r="I24" s="13"/>
      <c r="J24" s="13"/>
      <c r="K24" s="13"/>
      <c r="L24" s="78"/>
      <c r="M24" s="171" t="s">
        <v>64</v>
      </c>
      <c r="N24" s="172">
        <f>N22</f>
        <v>18.43274375</v>
      </c>
      <c r="O24" s="13"/>
      <c r="P24" s="13"/>
      <c r="Q24" s="13"/>
      <c r="R24" s="78"/>
    </row>
    <row r="25" spans="1:18" x14ac:dyDescent="0.25">
      <c r="A25" s="76"/>
      <c r="B25" s="13"/>
      <c r="C25" s="13"/>
      <c r="D25" s="13"/>
      <c r="E25" s="13"/>
      <c r="F25" s="78"/>
      <c r="G25" s="76"/>
      <c r="H25" s="13"/>
      <c r="I25" s="13"/>
      <c r="J25" s="13"/>
      <c r="K25" s="13"/>
      <c r="L25" s="78"/>
      <c r="M25" s="76"/>
      <c r="N25" s="13"/>
      <c r="O25" s="13"/>
      <c r="P25" s="13"/>
      <c r="Q25" s="13"/>
      <c r="R25" s="78"/>
    </row>
    <row r="26" spans="1:18" x14ac:dyDescent="0.25">
      <c r="A26" s="173" t="s">
        <v>144</v>
      </c>
      <c r="B26" s="174"/>
      <c r="C26" s="174"/>
      <c r="D26" s="174"/>
      <c r="E26" s="174"/>
      <c r="F26" s="175"/>
      <c r="G26" s="173" t="s">
        <v>173</v>
      </c>
      <c r="H26" s="174"/>
      <c r="I26" s="174"/>
      <c r="J26" s="174"/>
      <c r="K26" s="174"/>
      <c r="L26" s="175"/>
      <c r="M26" s="173" t="s">
        <v>178</v>
      </c>
      <c r="N26" s="174"/>
      <c r="O26" s="174"/>
      <c r="P26" s="174"/>
      <c r="Q26" s="174"/>
      <c r="R26" s="175"/>
    </row>
    <row r="27" spans="1:18" x14ac:dyDescent="0.25">
      <c r="A27" s="173"/>
      <c r="B27" s="174"/>
      <c r="C27" s="174"/>
      <c r="D27" s="174"/>
      <c r="E27" s="174"/>
      <c r="F27" s="175"/>
      <c r="G27" s="173"/>
      <c r="H27" s="174"/>
      <c r="I27" s="174"/>
      <c r="J27" s="174"/>
      <c r="K27" s="174"/>
      <c r="L27" s="175"/>
      <c r="M27" s="173"/>
      <c r="N27" s="174"/>
      <c r="O27" s="174"/>
      <c r="P27" s="174"/>
      <c r="Q27" s="174"/>
      <c r="R27" s="175"/>
    </row>
    <row r="28" spans="1:18" x14ac:dyDescent="0.25">
      <c r="A28" s="173"/>
      <c r="B28" s="174"/>
      <c r="C28" s="174"/>
      <c r="D28" s="174"/>
      <c r="E28" s="174"/>
      <c r="F28" s="175"/>
      <c r="G28" s="173"/>
      <c r="H28" s="174"/>
      <c r="I28" s="174"/>
      <c r="J28" s="174"/>
      <c r="K28" s="174"/>
      <c r="L28" s="175"/>
      <c r="M28" s="173"/>
      <c r="N28" s="174"/>
      <c r="O28" s="174"/>
      <c r="P28" s="174"/>
      <c r="Q28" s="174"/>
      <c r="R28" s="175"/>
    </row>
    <row r="29" spans="1:18" x14ac:dyDescent="0.25">
      <c r="A29" s="76"/>
      <c r="B29" s="13"/>
      <c r="C29" s="13"/>
      <c r="D29" s="13"/>
      <c r="E29" s="13"/>
      <c r="F29" s="78"/>
      <c r="G29" s="76"/>
      <c r="H29" s="13"/>
      <c r="I29" s="13"/>
      <c r="J29" s="13"/>
      <c r="K29" s="13"/>
      <c r="L29" s="78"/>
      <c r="M29" s="76"/>
      <c r="N29" s="13"/>
      <c r="O29" s="13"/>
      <c r="P29" s="13"/>
      <c r="Q29" s="13"/>
      <c r="R29" s="78"/>
    </row>
    <row r="30" spans="1:18" x14ac:dyDescent="0.25">
      <c r="A30" s="76" t="s">
        <v>42</v>
      </c>
      <c r="B30" s="13" t="s">
        <v>62</v>
      </c>
      <c r="C30" s="13" t="s">
        <v>63</v>
      </c>
      <c r="D30" s="13"/>
      <c r="E30" s="13"/>
      <c r="F30" s="78"/>
      <c r="G30" s="76" t="s">
        <v>42</v>
      </c>
      <c r="H30" s="13" t="s">
        <v>62</v>
      </c>
      <c r="I30" s="13" t="s">
        <v>63</v>
      </c>
      <c r="J30" s="13"/>
      <c r="K30" s="13"/>
      <c r="L30" s="78"/>
      <c r="M30" s="76" t="s">
        <v>42</v>
      </c>
      <c r="N30" s="13" t="s">
        <v>62</v>
      </c>
      <c r="O30" s="13" t="s">
        <v>63</v>
      </c>
      <c r="P30" s="13"/>
      <c r="Q30" s="13"/>
      <c r="R30" s="78"/>
    </row>
    <row r="31" spans="1:18" x14ac:dyDescent="0.25">
      <c r="A31" s="176">
        <v>50000</v>
      </c>
      <c r="B31" s="169">
        <f>B24</f>
        <v>14.746195</v>
      </c>
      <c r="C31" s="177">
        <f>A31*B31</f>
        <v>737309.75</v>
      </c>
      <c r="D31" s="13"/>
      <c r="E31" s="13"/>
      <c r="F31" s="78"/>
      <c r="G31" s="176">
        <v>35000</v>
      </c>
      <c r="H31" s="169">
        <f>H24</f>
        <v>21.065992857142856</v>
      </c>
      <c r="I31" s="177">
        <f>G31*H31</f>
        <v>737309.75</v>
      </c>
      <c r="J31" s="13"/>
      <c r="K31" s="13"/>
      <c r="L31" s="78"/>
      <c r="M31" s="176">
        <v>40000</v>
      </c>
      <c r="N31" s="169">
        <f>N24</f>
        <v>18.43274375</v>
      </c>
      <c r="O31" s="177">
        <f>M31*N31</f>
        <v>737309.75</v>
      </c>
      <c r="P31" s="13"/>
      <c r="Q31" s="13"/>
      <c r="R31" s="78"/>
    </row>
    <row r="32" spans="1:18" x14ac:dyDescent="0.25">
      <c r="A32" s="76"/>
      <c r="B32" s="13"/>
      <c r="C32" s="13"/>
      <c r="D32" s="13"/>
      <c r="E32" s="13"/>
      <c r="F32" s="78"/>
      <c r="G32" s="76"/>
      <c r="H32" s="13"/>
      <c r="I32" s="13"/>
      <c r="J32" s="13"/>
      <c r="K32" s="13"/>
      <c r="L32" s="78"/>
      <c r="M32" s="76"/>
      <c r="N32" s="13"/>
      <c r="O32" s="13"/>
      <c r="P32" s="13"/>
      <c r="Q32" s="13"/>
      <c r="R32" s="78"/>
    </row>
    <row r="33" spans="1:18" x14ac:dyDescent="0.25">
      <c r="A33" s="173" t="s">
        <v>146</v>
      </c>
      <c r="B33" s="174"/>
      <c r="C33" s="174"/>
      <c r="D33" s="174"/>
      <c r="E33" s="174"/>
      <c r="F33" s="175"/>
      <c r="G33" s="173" t="s">
        <v>174</v>
      </c>
      <c r="H33" s="174"/>
      <c r="I33" s="174"/>
      <c r="J33" s="174"/>
      <c r="K33" s="174"/>
      <c r="L33" s="175"/>
      <c r="M33" s="173" t="s">
        <v>179</v>
      </c>
      <c r="N33" s="174"/>
      <c r="O33" s="174"/>
      <c r="P33" s="174"/>
      <c r="Q33" s="174"/>
      <c r="R33" s="175"/>
    </row>
    <row r="34" spans="1:18" x14ac:dyDescent="0.25">
      <c r="A34" s="173"/>
      <c r="B34" s="174"/>
      <c r="C34" s="174"/>
      <c r="D34" s="174"/>
      <c r="E34" s="174"/>
      <c r="F34" s="175"/>
      <c r="G34" s="173"/>
      <c r="H34" s="174"/>
      <c r="I34" s="174"/>
      <c r="J34" s="174"/>
      <c r="K34" s="174"/>
      <c r="L34" s="175"/>
      <c r="M34" s="173"/>
      <c r="N34" s="174"/>
      <c r="O34" s="174"/>
      <c r="P34" s="174"/>
      <c r="Q34" s="174"/>
      <c r="R34" s="175"/>
    </row>
    <row r="35" spans="1:18" ht="15.75" thickBot="1" x14ac:dyDescent="0.3">
      <c r="A35" s="178"/>
      <c r="B35" s="179"/>
      <c r="C35" s="179"/>
      <c r="D35" s="179"/>
      <c r="E35" s="179"/>
      <c r="F35" s="180"/>
      <c r="G35" s="178"/>
      <c r="H35" s="179"/>
      <c r="I35" s="179"/>
      <c r="J35" s="179"/>
      <c r="K35" s="179"/>
      <c r="L35" s="180"/>
      <c r="M35" s="178"/>
      <c r="N35" s="179"/>
      <c r="O35" s="179"/>
      <c r="P35" s="179"/>
      <c r="Q35" s="179"/>
      <c r="R35" s="180"/>
    </row>
    <row r="36" spans="1:18" x14ac:dyDescent="0.25">
      <c r="A36" s="92" t="s">
        <v>100</v>
      </c>
      <c r="B36" s="93"/>
      <c r="C36" s="74"/>
      <c r="D36" s="74"/>
      <c r="E36" s="74"/>
      <c r="F36" s="75"/>
      <c r="G36" s="92" t="s">
        <v>170</v>
      </c>
      <c r="H36" s="93"/>
      <c r="I36" s="74"/>
      <c r="J36" s="74"/>
      <c r="K36" s="74"/>
      <c r="L36" s="75"/>
      <c r="M36" s="92" t="s">
        <v>153</v>
      </c>
      <c r="N36" s="93"/>
      <c r="O36" s="74"/>
      <c r="P36" s="74"/>
      <c r="Q36" s="74"/>
      <c r="R36" s="75"/>
    </row>
    <row r="37" spans="1:18" x14ac:dyDescent="0.25">
      <c r="A37" s="76" t="s">
        <v>60</v>
      </c>
      <c r="B37" s="13" t="s">
        <v>66</v>
      </c>
      <c r="C37" s="13"/>
      <c r="D37" s="13"/>
      <c r="E37" s="13"/>
      <c r="F37" s="78"/>
      <c r="G37" s="76" t="s">
        <v>60</v>
      </c>
      <c r="H37" s="13" t="s">
        <v>66</v>
      </c>
      <c r="I37" s="13"/>
      <c r="J37" s="13"/>
      <c r="K37" s="13"/>
      <c r="L37" s="78"/>
      <c r="M37" s="76" t="s">
        <v>60</v>
      </c>
      <c r="N37" s="13" t="s">
        <v>66</v>
      </c>
      <c r="O37" s="13"/>
      <c r="P37" s="13"/>
      <c r="Q37" s="13"/>
      <c r="R37" s="78"/>
    </row>
    <row r="38" spans="1:18" x14ac:dyDescent="0.25">
      <c r="A38" s="76"/>
      <c r="B38" s="13"/>
      <c r="C38" s="13"/>
      <c r="D38" s="13"/>
      <c r="E38" s="169"/>
      <c r="F38" s="170"/>
      <c r="G38" s="76"/>
      <c r="H38" s="13"/>
      <c r="I38" s="13"/>
      <c r="J38" s="13"/>
      <c r="K38" s="169"/>
      <c r="L38" s="170"/>
      <c r="M38" s="76"/>
      <c r="N38" s="13"/>
      <c r="O38" s="13"/>
      <c r="P38" s="13"/>
      <c r="Q38" s="169"/>
      <c r="R38" s="170"/>
    </row>
    <row r="39" spans="1:18" x14ac:dyDescent="0.25">
      <c r="A39" s="76" t="s">
        <v>61</v>
      </c>
      <c r="B39" s="166">
        <f>'COSTO UNITARIO'!B7/180000</f>
        <v>4.0961652777777777</v>
      </c>
      <c r="C39" s="166"/>
      <c r="D39" s="13"/>
      <c r="E39" s="13"/>
      <c r="F39" s="78"/>
      <c r="G39" s="76" t="s">
        <v>61</v>
      </c>
      <c r="H39" s="166">
        <f>'COSTO UNITARIO'!B7/120000</f>
        <v>6.144247916666667</v>
      </c>
      <c r="I39" s="166"/>
      <c r="J39" s="13"/>
      <c r="K39" s="13"/>
      <c r="L39" s="78"/>
      <c r="M39" s="76" t="s">
        <v>61</v>
      </c>
      <c r="N39" s="166">
        <f>'COSTO UNITARIO'!B7/135000</f>
        <v>5.4615537037037036</v>
      </c>
      <c r="O39" s="166"/>
      <c r="P39" s="13"/>
      <c r="Q39" s="13"/>
      <c r="R39" s="78"/>
    </row>
    <row r="40" spans="1:18" x14ac:dyDescent="0.25">
      <c r="A40" s="76"/>
      <c r="B40" s="13"/>
      <c r="C40" s="13"/>
      <c r="D40" s="13"/>
      <c r="E40" s="13"/>
      <c r="F40" s="78"/>
      <c r="G40" s="76"/>
      <c r="H40" s="13"/>
      <c r="I40" s="13"/>
      <c r="J40" s="13"/>
      <c r="K40" s="13"/>
      <c r="L40" s="78"/>
      <c r="M40" s="76"/>
      <c r="N40" s="13"/>
      <c r="O40" s="13"/>
      <c r="P40" s="13"/>
      <c r="Q40" s="13"/>
      <c r="R40" s="78"/>
    </row>
    <row r="41" spans="1:18" x14ac:dyDescent="0.25">
      <c r="A41" s="171" t="s">
        <v>64</v>
      </c>
      <c r="B41" s="172">
        <f>B39</f>
        <v>4.0961652777777777</v>
      </c>
      <c r="C41" s="13"/>
      <c r="D41" s="13"/>
      <c r="E41" s="13"/>
      <c r="F41" s="78"/>
      <c r="G41" s="171" t="s">
        <v>64</v>
      </c>
      <c r="H41" s="172">
        <f>H39</f>
        <v>6.144247916666667</v>
      </c>
      <c r="I41" s="13"/>
      <c r="J41" s="13"/>
      <c r="K41" s="13"/>
      <c r="L41" s="78"/>
      <c r="M41" s="171" t="s">
        <v>64</v>
      </c>
      <c r="N41" s="172">
        <f>N39</f>
        <v>5.4615537037037036</v>
      </c>
      <c r="O41" s="13"/>
      <c r="P41" s="13"/>
      <c r="Q41" s="13"/>
      <c r="R41" s="78"/>
    </row>
    <row r="42" spans="1:18" x14ac:dyDescent="0.25">
      <c r="A42" s="76"/>
      <c r="B42" s="13"/>
      <c r="C42" s="13"/>
      <c r="D42" s="13"/>
      <c r="E42" s="13"/>
      <c r="F42" s="78"/>
      <c r="G42" s="76"/>
      <c r="H42" s="13"/>
      <c r="I42" s="13"/>
      <c r="J42" s="13"/>
      <c r="K42" s="13"/>
      <c r="L42" s="78"/>
      <c r="M42" s="76"/>
      <c r="N42" s="13"/>
      <c r="O42" s="13"/>
      <c r="P42" s="13"/>
      <c r="Q42" s="13"/>
      <c r="R42" s="78"/>
    </row>
    <row r="43" spans="1:18" x14ac:dyDescent="0.25">
      <c r="A43" s="173" t="s">
        <v>182</v>
      </c>
      <c r="B43" s="174"/>
      <c r="C43" s="174"/>
      <c r="D43" s="174"/>
      <c r="E43" s="174"/>
      <c r="F43" s="175"/>
      <c r="G43" s="173" t="s">
        <v>175</v>
      </c>
      <c r="H43" s="174"/>
      <c r="I43" s="174"/>
      <c r="J43" s="174"/>
      <c r="K43" s="174"/>
      <c r="L43" s="175"/>
      <c r="M43" s="173" t="s">
        <v>180</v>
      </c>
      <c r="N43" s="174"/>
      <c r="O43" s="174"/>
      <c r="P43" s="174"/>
      <c r="Q43" s="174"/>
      <c r="R43" s="175"/>
    </row>
    <row r="44" spans="1:18" x14ac:dyDescent="0.25">
      <c r="A44" s="173"/>
      <c r="B44" s="174"/>
      <c r="C44" s="174"/>
      <c r="D44" s="174"/>
      <c r="E44" s="174"/>
      <c r="F44" s="175"/>
      <c r="G44" s="173"/>
      <c r="H44" s="174"/>
      <c r="I44" s="174"/>
      <c r="J44" s="174"/>
      <c r="K44" s="174"/>
      <c r="L44" s="175"/>
      <c r="M44" s="173"/>
      <c r="N44" s="174"/>
      <c r="O44" s="174"/>
      <c r="P44" s="174"/>
      <c r="Q44" s="174"/>
      <c r="R44" s="175"/>
    </row>
    <row r="45" spans="1:18" x14ac:dyDescent="0.25">
      <c r="A45" s="173"/>
      <c r="B45" s="174"/>
      <c r="C45" s="174"/>
      <c r="D45" s="174"/>
      <c r="E45" s="174"/>
      <c r="F45" s="175"/>
      <c r="G45" s="173"/>
      <c r="H45" s="174"/>
      <c r="I45" s="174"/>
      <c r="J45" s="174"/>
      <c r="K45" s="174"/>
      <c r="L45" s="175"/>
      <c r="M45" s="173"/>
      <c r="N45" s="174"/>
      <c r="O45" s="174"/>
      <c r="P45" s="174"/>
      <c r="Q45" s="174"/>
      <c r="R45" s="175"/>
    </row>
    <row r="46" spans="1:18" x14ac:dyDescent="0.25">
      <c r="A46" s="76"/>
      <c r="B46" s="13"/>
      <c r="C46" s="13"/>
      <c r="D46" s="13"/>
      <c r="E46" s="13"/>
      <c r="F46" s="78"/>
      <c r="G46" s="76"/>
      <c r="H46" s="13"/>
      <c r="I46" s="13"/>
      <c r="J46" s="13"/>
      <c r="K46" s="13"/>
      <c r="L46" s="78"/>
      <c r="M46" s="76"/>
      <c r="N46" s="13"/>
      <c r="O46" s="13"/>
      <c r="P46" s="13"/>
      <c r="Q46" s="13"/>
      <c r="R46" s="78"/>
    </row>
    <row r="47" spans="1:18" x14ac:dyDescent="0.25">
      <c r="A47" s="76" t="s">
        <v>42</v>
      </c>
      <c r="B47" s="13" t="s">
        <v>62</v>
      </c>
      <c r="C47" s="13" t="s">
        <v>63</v>
      </c>
      <c r="D47" s="13"/>
      <c r="E47" s="13"/>
      <c r="F47" s="78"/>
      <c r="G47" s="76" t="s">
        <v>42</v>
      </c>
      <c r="H47" s="13" t="s">
        <v>62</v>
      </c>
      <c r="I47" s="13" t="s">
        <v>63</v>
      </c>
      <c r="J47" s="13"/>
      <c r="K47" s="13"/>
      <c r="L47" s="78"/>
      <c r="M47" s="76" t="s">
        <v>42</v>
      </c>
      <c r="N47" s="13" t="s">
        <v>62</v>
      </c>
      <c r="O47" s="13" t="s">
        <v>63</v>
      </c>
      <c r="P47" s="13"/>
      <c r="Q47" s="13"/>
      <c r="R47" s="78"/>
    </row>
    <row r="48" spans="1:18" x14ac:dyDescent="0.25">
      <c r="A48" s="176">
        <v>180000</v>
      </c>
      <c r="B48" s="169">
        <f>B41</f>
        <v>4.0961652777777777</v>
      </c>
      <c r="C48" s="177">
        <f>A48*B48</f>
        <v>737309.75</v>
      </c>
      <c r="D48" s="13"/>
      <c r="E48" s="13"/>
      <c r="F48" s="78"/>
      <c r="G48" s="176">
        <v>120000</v>
      </c>
      <c r="H48" s="169">
        <f>H41</f>
        <v>6.144247916666667</v>
      </c>
      <c r="I48" s="177">
        <f>G48*H48</f>
        <v>737309.75</v>
      </c>
      <c r="J48" s="13"/>
      <c r="K48" s="13"/>
      <c r="L48" s="78"/>
      <c r="M48" s="176">
        <v>135000</v>
      </c>
      <c r="N48" s="169">
        <f>N41</f>
        <v>5.4615537037037036</v>
      </c>
      <c r="O48" s="177">
        <f>M48*N48</f>
        <v>737309.75</v>
      </c>
      <c r="P48" s="13"/>
      <c r="Q48" s="13"/>
      <c r="R48" s="78"/>
    </row>
    <row r="49" spans="1:18" x14ac:dyDescent="0.25">
      <c r="A49" s="76"/>
      <c r="B49" s="13"/>
      <c r="C49" s="13"/>
      <c r="D49" s="13"/>
      <c r="E49" s="13"/>
      <c r="F49" s="78"/>
      <c r="G49" s="76"/>
      <c r="H49" s="13"/>
      <c r="I49" s="13"/>
      <c r="J49" s="13"/>
      <c r="K49" s="13"/>
      <c r="L49" s="78"/>
      <c r="M49" s="76"/>
      <c r="N49" s="13"/>
      <c r="O49" s="13"/>
      <c r="P49" s="13"/>
      <c r="Q49" s="13"/>
      <c r="R49" s="78"/>
    </row>
    <row r="50" spans="1:18" x14ac:dyDescent="0.25">
      <c r="A50" s="173" t="s">
        <v>147</v>
      </c>
      <c r="B50" s="174"/>
      <c r="C50" s="174"/>
      <c r="D50" s="174"/>
      <c r="E50" s="174"/>
      <c r="F50" s="175"/>
      <c r="G50" s="173" t="s">
        <v>176</v>
      </c>
      <c r="H50" s="174"/>
      <c r="I50" s="174"/>
      <c r="J50" s="174"/>
      <c r="K50" s="174"/>
      <c r="L50" s="175"/>
      <c r="M50" s="173" t="s">
        <v>181</v>
      </c>
      <c r="N50" s="174"/>
      <c r="O50" s="174"/>
      <c r="P50" s="174"/>
      <c r="Q50" s="174"/>
      <c r="R50" s="175"/>
    </row>
    <row r="51" spans="1:18" x14ac:dyDescent="0.25">
      <c r="A51" s="173"/>
      <c r="B51" s="174"/>
      <c r="C51" s="174"/>
      <c r="D51" s="174"/>
      <c r="E51" s="174"/>
      <c r="F51" s="175"/>
      <c r="G51" s="173"/>
      <c r="H51" s="174"/>
      <c r="I51" s="174"/>
      <c r="J51" s="174"/>
      <c r="K51" s="174"/>
      <c r="L51" s="175"/>
      <c r="M51" s="173"/>
      <c r="N51" s="174"/>
      <c r="O51" s="174"/>
      <c r="P51" s="174"/>
      <c r="Q51" s="174"/>
      <c r="R51" s="175"/>
    </row>
    <row r="52" spans="1:18" ht="15.75" thickBot="1" x14ac:dyDescent="0.3">
      <c r="A52" s="178"/>
      <c r="B52" s="179"/>
      <c r="C52" s="179"/>
      <c r="D52" s="179"/>
      <c r="E52" s="179"/>
      <c r="F52" s="180"/>
      <c r="G52" s="178"/>
      <c r="H52" s="179"/>
      <c r="I52" s="179"/>
      <c r="J52" s="179"/>
      <c r="K52" s="179"/>
      <c r="L52" s="180"/>
      <c r="M52" s="178"/>
      <c r="N52" s="179"/>
      <c r="O52" s="179"/>
      <c r="P52" s="179"/>
      <c r="Q52" s="179"/>
      <c r="R52" s="180"/>
    </row>
  </sheetData>
  <mergeCells count="27">
    <mergeCell ref="G33:L35"/>
    <mergeCell ref="G36:H36"/>
    <mergeCell ref="G43:L45"/>
    <mergeCell ref="G50:L52"/>
    <mergeCell ref="M2:N2"/>
    <mergeCell ref="M9:R11"/>
    <mergeCell ref="M16:R18"/>
    <mergeCell ref="M19:N19"/>
    <mergeCell ref="M26:R28"/>
    <mergeCell ref="M33:R35"/>
    <mergeCell ref="M36:N36"/>
    <mergeCell ref="M43:R45"/>
    <mergeCell ref="M50:R52"/>
    <mergeCell ref="G2:H2"/>
    <mergeCell ref="G9:L11"/>
    <mergeCell ref="G16:L18"/>
    <mergeCell ref="G19:H19"/>
    <mergeCell ref="G26:L28"/>
    <mergeCell ref="A50:F52"/>
    <mergeCell ref="A19:B19"/>
    <mergeCell ref="A26:F28"/>
    <mergeCell ref="A33:F35"/>
    <mergeCell ref="A2:B2"/>
    <mergeCell ref="A9:F11"/>
    <mergeCell ref="A16:F18"/>
    <mergeCell ref="A36:B36"/>
    <mergeCell ref="A43:F4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zoomScale="85" zoomScaleNormal="85" workbookViewId="0">
      <selection activeCell="N26" sqref="N26:O27"/>
    </sheetView>
  </sheetViews>
  <sheetFormatPr baseColWidth="10" defaultRowHeight="15" x14ac:dyDescent="0.25"/>
  <sheetData>
    <row r="1" spans="1:16" ht="15.75" thickBot="1" x14ac:dyDescent="0.3">
      <c r="A1" s="181"/>
      <c r="B1" s="74"/>
      <c r="C1" s="74"/>
      <c r="D1" s="74"/>
      <c r="E1" s="75"/>
      <c r="F1" s="181"/>
      <c r="G1" s="74"/>
      <c r="H1" s="74"/>
      <c r="I1" s="74"/>
      <c r="J1" s="74"/>
      <c r="K1" s="75"/>
      <c r="L1" s="74"/>
      <c r="M1" s="74"/>
      <c r="N1" s="74"/>
      <c r="O1" s="74"/>
      <c r="P1" s="75"/>
    </row>
    <row r="2" spans="1:16" ht="15.75" thickBot="1" x14ac:dyDescent="0.3">
      <c r="A2" s="134" t="s">
        <v>101</v>
      </c>
      <c r="B2" s="135"/>
      <c r="C2" s="135"/>
      <c r="D2" s="136"/>
      <c r="E2" s="78"/>
      <c r="F2" s="76"/>
      <c r="G2" s="134" t="s">
        <v>138</v>
      </c>
      <c r="H2" s="135"/>
      <c r="I2" s="135"/>
      <c r="J2" s="136"/>
      <c r="K2" s="78"/>
      <c r="L2" s="134" t="s">
        <v>100</v>
      </c>
      <c r="M2" s="135"/>
      <c r="N2" s="135"/>
      <c r="O2" s="136"/>
      <c r="P2" s="78"/>
    </row>
    <row r="3" spans="1:16" x14ac:dyDescent="0.25">
      <c r="A3" s="182" t="s">
        <v>68</v>
      </c>
      <c r="B3" s="137"/>
      <c r="C3" s="137"/>
      <c r="D3" s="137"/>
      <c r="E3" s="183"/>
      <c r="F3" s="76"/>
      <c r="G3" s="137" t="s">
        <v>68</v>
      </c>
      <c r="H3" s="137"/>
      <c r="I3" s="137"/>
      <c r="J3" s="137"/>
      <c r="K3" s="187"/>
      <c r="L3" s="137" t="s">
        <v>68</v>
      </c>
      <c r="M3" s="137"/>
      <c r="N3" s="137"/>
      <c r="O3" s="137"/>
      <c r="P3" s="78"/>
    </row>
    <row r="4" spans="1:16" x14ac:dyDescent="0.25">
      <c r="A4" s="184" t="s">
        <v>69</v>
      </c>
      <c r="B4" s="146"/>
      <c r="C4" s="146"/>
      <c r="D4" s="146"/>
      <c r="E4" s="78"/>
      <c r="F4" s="76"/>
      <c r="G4" s="146" t="s">
        <v>69</v>
      </c>
      <c r="H4" s="146"/>
      <c r="I4" s="146"/>
      <c r="J4" s="146"/>
      <c r="K4" s="78"/>
      <c r="L4" s="146" t="s">
        <v>69</v>
      </c>
      <c r="M4" s="146"/>
      <c r="N4" s="146"/>
      <c r="O4" s="146"/>
      <c r="P4" s="78"/>
    </row>
    <row r="5" spans="1:16" x14ac:dyDescent="0.25">
      <c r="A5" s="103" t="s">
        <v>70</v>
      </c>
      <c r="B5" s="139"/>
      <c r="C5" s="142">
        <f>(150000*5)</f>
        <v>750000</v>
      </c>
      <c r="D5" s="143"/>
      <c r="E5" s="78"/>
      <c r="F5" s="76"/>
      <c r="G5" s="138" t="s">
        <v>70</v>
      </c>
      <c r="H5" s="139"/>
      <c r="I5" s="142">
        <f>(50000*15)</f>
        <v>750000</v>
      </c>
      <c r="J5" s="143"/>
      <c r="K5" s="78"/>
      <c r="L5" s="138" t="s">
        <v>70</v>
      </c>
      <c r="M5" s="139"/>
      <c r="N5" s="142">
        <f>180000*4</f>
        <v>720000</v>
      </c>
      <c r="O5" s="143"/>
      <c r="P5" s="78"/>
    </row>
    <row r="6" spans="1:16" x14ac:dyDescent="0.25">
      <c r="A6" s="106"/>
      <c r="B6" s="141"/>
      <c r="C6" s="144"/>
      <c r="D6" s="145"/>
      <c r="E6" s="78"/>
      <c r="F6" s="76"/>
      <c r="G6" s="140"/>
      <c r="H6" s="141"/>
      <c r="I6" s="144"/>
      <c r="J6" s="145"/>
      <c r="K6" s="78"/>
      <c r="L6" s="140"/>
      <c r="M6" s="141"/>
      <c r="N6" s="144"/>
      <c r="O6" s="145"/>
      <c r="P6" s="78"/>
    </row>
    <row r="7" spans="1:16" x14ac:dyDescent="0.25">
      <c r="A7" s="185" t="s">
        <v>29</v>
      </c>
      <c r="B7" s="143"/>
      <c r="C7" s="142">
        <f>'COSTO UNITARIO'!C7/4</f>
        <v>227083.33333333334</v>
      </c>
      <c r="D7" s="143"/>
      <c r="E7" s="78"/>
      <c r="F7" s="76"/>
      <c r="G7" s="147" t="s">
        <v>29</v>
      </c>
      <c r="H7" s="143"/>
      <c r="I7" s="142">
        <v>0</v>
      </c>
      <c r="J7" s="143"/>
      <c r="K7" s="78"/>
      <c r="L7" s="147" t="s">
        <v>29</v>
      </c>
      <c r="M7" s="143"/>
      <c r="N7" s="142">
        <v>146875</v>
      </c>
      <c r="O7" s="143"/>
      <c r="P7" s="78"/>
    </row>
    <row r="8" spans="1:16" x14ac:dyDescent="0.25">
      <c r="A8" s="186"/>
      <c r="B8" s="145"/>
      <c r="C8" s="144"/>
      <c r="D8" s="145"/>
      <c r="E8" s="78"/>
      <c r="F8" s="76"/>
      <c r="G8" s="144"/>
      <c r="H8" s="145"/>
      <c r="I8" s="144"/>
      <c r="J8" s="145"/>
      <c r="K8" s="78"/>
      <c r="L8" s="144"/>
      <c r="M8" s="145"/>
      <c r="N8" s="144"/>
      <c r="O8" s="145"/>
      <c r="P8" s="78"/>
    </row>
    <row r="9" spans="1:16" x14ac:dyDescent="0.25">
      <c r="A9" s="185" t="s">
        <v>71</v>
      </c>
      <c r="B9" s="143"/>
      <c r="C9" s="142">
        <f>C5-C7</f>
        <v>522916.66666666663</v>
      </c>
      <c r="D9" s="143"/>
      <c r="E9" s="78"/>
      <c r="F9" s="76"/>
      <c r="G9" s="147" t="s">
        <v>71</v>
      </c>
      <c r="H9" s="143"/>
      <c r="I9" s="142">
        <f>I5-I7</f>
        <v>750000</v>
      </c>
      <c r="J9" s="143"/>
      <c r="K9" s="78"/>
      <c r="L9" s="147" t="s">
        <v>71</v>
      </c>
      <c r="M9" s="143"/>
      <c r="N9" s="142">
        <f>N5-N7</f>
        <v>573125</v>
      </c>
      <c r="O9" s="143"/>
      <c r="P9" s="78"/>
    </row>
    <row r="10" spans="1:16" x14ac:dyDescent="0.25">
      <c r="A10" s="186"/>
      <c r="B10" s="145"/>
      <c r="C10" s="144"/>
      <c r="D10" s="145"/>
      <c r="E10" s="78"/>
      <c r="F10" s="76"/>
      <c r="G10" s="144"/>
      <c r="H10" s="145"/>
      <c r="I10" s="144"/>
      <c r="J10" s="145"/>
      <c r="K10" s="78"/>
      <c r="L10" s="144"/>
      <c r="M10" s="145"/>
      <c r="N10" s="144"/>
      <c r="O10" s="145"/>
      <c r="P10" s="78"/>
    </row>
    <row r="11" spans="1:16" x14ac:dyDescent="0.25">
      <c r="A11" s="185" t="s">
        <v>28</v>
      </c>
      <c r="B11" s="143"/>
      <c r="C11" s="142">
        <f>'COSTO UNITARIO'!B7/4</f>
        <v>184327.4375</v>
      </c>
      <c r="D11" s="143"/>
      <c r="E11" s="78"/>
      <c r="F11" s="76"/>
      <c r="G11" s="147" t="s">
        <v>28</v>
      </c>
      <c r="H11" s="143"/>
      <c r="I11" s="142">
        <f>'COSTO UNITARIO'!B7/4</f>
        <v>184327.4375</v>
      </c>
      <c r="J11" s="143"/>
      <c r="K11" s="78"/>
      <c r="L11" s="147" t="s">
        <v>28</v>
      </c>
      <c r="M11" s="143"/>
      <c r="N11" s="142">
        <f>I11</f>
        <v>184327.4375</v>
      </c>
      <c r="O11" s="143"/>
      <c r="P11" s="78"/>
    </row>
    <row r="12" spans="1:16" x14ac:dyDescent="0.25">
      <c r="A12" s="186"/>
      <c r="B12" s="145"/>
      <c r="C12" s="144"/>
      <c r="D12" s="145"/>
      <c r="E12" s="78"/>
      <c r="F12" s="76"/>
      <c r="G12" s="144"/>
      <c r="H12" s="145"/>
      <c r="I12" s="144"/>
      <c r="J12" s="145"/>
      <c r="K12" s="78"/>
      <c r="L12" s="144"/>
      <c r="M12" s="145"/>
      <c r="N12" s="144"/>
      <c r="O12" s="145"/>
      <c r="P12" s="78"/>
    </row>
    <row r="13" spans="1:16" x14ac:dyDescent="0.25">
      <c r="A13" s="103" t="s">
        <v>72</v>
      </c>
      <c r="B13" s="139"/>
      <c r="C13" s="148">
        <f>C9-C11</f>
        <v>338589.22916666663</v>
      </c>
      <c r="D13" s="149"/>
      <c r="E13" s="78"/>
      <c r="F13" s="76"/>
      <c r="G13" s="138" t="s">
        <v>72</v>
      </c>
      <c r="H13" s="139"/>
      <c r="I13" s="148">
        <f>I9-I11</f>
        <v>565672.5625</v>
      </c>
      <c r="J13" s="149"/>
      <c r="K13" s="78"/>
      <c r="L13" s="138" t="s">
        <v>72</v>
      </c>
      <c r="M13" s="139"/>
      <c r="N13" s="148">
        <f>N9-N11</f>
        <v>388797.5625</v>
      </c>
      <c r="O13" s="149"/>
      <c r="P13" s="78"/>
    </row>
    <row r="14" spans="1:16" x14ac:dyDescent="0.25">
      <c r="A14" s="106"/>
      <c r="B14" s="141"/>
      <c r="C14" s="149"/>
      <c r="D14" s="149"/>
      <c r="E14" s="78"/>
      <c r="F14" s="76"/>
      <c r="G14" s="140"/>
      <c r="H14" s="141"/>
      <c r="I14" s="149"/>
      <c r="J14" s="149"/>
      <c r="K14" s="78"/>
      <c r="L14" s="140"/>
      <c r="M14" s="141"/>
      <c r="N14" s="149"/>
      <c r="O14" s="149"/>
      <c r="P14" s="78"/>
    </row>
    <row r="15" spans="1:16" x14ac:dyDescent="0.25">
      <c r="A15" s="173" t="s">
        <v>183</v>
      </c>
      <c r="B15" s="174"/>
      <c r="C15" s="174"/>
      <c r="D15" s="174"/>
      <c r="E15" s="175"/>
      <c r="F15" s="76"/>
      <c r="G15" s="174" t="s">
        <v>137</v>
      </c>
      <c r="H15" s="174"/>
      <c r="I15" s="174"/>
      <c r="J15" s="174"/>
      <c r="K15" s="175"/>
      <c r="L15" s="174" t="s">
        <v>184</v>
      </c>
      <c r="M15" s="174"/>
      <c r="N15" s="174"/>
      <c r="O15" s="174"/>
      <c r="P15" s="175"/>
    </row>
    <row r="16" spans="1:16" x14ac:dyDescent="0.25">
      <c r="A16" s="173"/>
      <c r="B16" s="174"/>
      <c r="C16" s="174"/>
      <c r="D16" s="174"/>
      <c r="E16" s="175"/>
      <c r="F16" s="76"/>
      <c r="G16" s="174"/>
      <c r="H16" s="174"/>
      <c r="I16" s="174"/>
      <c r="J16" s="174"/>
      <c r="K16" s="175"/>
      <c r="L16" s="174"/>
      <c r="M16" s="174"/>
      <c r="N16" s="174"/>
      <c r="O16" s="174"/>
      <c r="P16" s="175"/>
    </row>
    <row r="17" spans="1:16" x14ac:dyDescent="0.25">
      <c r="A17" s="173"/>
      <c r="B17" s="174"/>
      <c r="C17" s="174"/>
      <c r="D17" s="174"/>
      <c r="E17" s="175"/>
      <c r="F17" s="76"/>
      <c r="G17" s="174"/>
      <c r="H17" s="174"/>
      <c r="I17" s="174"/>
      <c r="J17" s="174"/>
      <c r="K17" s="175"/>
      <c r="L17" s="174"/>
      <c r="M17" s="174"/>
      <c r="N17" s="174"/>
      <c r="O17" s="174"/>
      <c r="P17" s="175"/>
    </row>
    <row r="18" spans="1:16" ht="15.75" thickBot="1" x14ac:dyDescent="0.3">
      <c r="A18" s="76"/>
      <c r="B18" s="13"/>
      <c r="C18" s="12">
        <f>C13</f>
        <v>338589.22916666663</v>
      </c>
      <c r="D18" s="13"/>
      <c r="E18" s="78"/>
      <c r="F18" s="76"/>
      <c r="G18" s="13"/>
      <c r="H18" s="13"/>
      <c r="I18" s="12">
        <f>I13</f>
        <v>565672.5625</v>
      </c>
      <c r="J18" s="13"/>
      <c r="K18" s="78"/>
      <c r="L18" s="13"/>
      <c r="M18" s="13"/>
      <c r="N18" s="12">
        <f>N13</f>
        <v>388797.5625</v>
      </c>
      <c r="O18" s="13"/>
      <c r="P18" s="78"/>
    </row>
    <row r="19" spans="1:16" ht="15.75" thickBot="1" x14ac:dyDescent="0.3">
      <c r="A19" s="134" t="s">
        <v>164</v>
      </c>
      <c r="B19" s="135"/>
      <c r="C19" s="135"/>
      <c r="D19" s="136"/>
      <c r="E19" s="78"/>
      <c r="F19" s="76"/>
      <c r="G19" s="134" t="s">
        <v>164</v>
      </c>
      <c r="H19" s="135"/>
      <c r="I19" s="135"/>
      <c r="J19" s="136"/>
      <c r="K19" s="78"/>
      <c r="L19" s="134" t="s">
        <v>164</v>
      </c>
      <c r="M19" s="135"/>
      <c r="N19" s="135"/>
      <c r="O19" s="136"/>
      <c r="P19" s="78"/>
    </row>
    <row r="20" spans="1:16" x14ac:dyDescent="0.25">
      <c r="A20" s="182" t="s">
        <v>68</v>
      </c>
      <c r="B20" s="137"/>
      <c r="C20" s="137"/>
      <c r="D20" s="137"/>
      <c r="E20" s="78"/>
      <c r="F20" s="76"/>
      <c r="G20" s="137" t="s">
        <v>68</v>
      </c>
      <c r="H20" s="137"/>
      <c r="I20" s="137"/>
      <c r="J20" s="137"/>
      <c r="K20" s="78"/>
      <c r="L20" s="137" t="s">
        <v>68</v>
      </c>
      <c r="M20" s="137"/>
      <c r="N20" s="137"/>
      <c r="O20" s="137"/>
      <c r="P20" s="78"/>
    </row>
    <row r="21" spans="1:16" x14ac:dyDescent="0.25">
      <c r="A21" s="184" t="s">
        <v>69</v>
      </c>
      <c r="B21" s="146"/>
      <c r="C21" s="146"/>
      <c r="D21" s="146"/>
      <c r="E21" s="78"/>
      <c r="F21" s="76"/>
      <c r="G21" s="146" t="s">
        <v>69</v>
      </c>
      <c r="H21" s="146"/>
      <c r="I21" s="146"/>
      <c r="J21" s="146"/>
      <c r="K21" s="78"/>
      <c r="L21" s="146" t="s">
        <v>69</v>
      </c>
      <c r="M21" s="146"/>
      <c r="N21" s="146"/>
      <c r="O21" s="146"/>
      <c r="P21" s="78"/>
    </row>
    <row r="22" spans="1:16" x14ac:dyDescent="0.25">
      <c r="A22" s="103" t="s">
        <v>70</v>
      </c>
      <c r="B22" s="139"/>
      <c r="C22" s="142">
        <f>(100000*7)</f>
        <v>700000</v>
      </c>
      <c r="D22" s="143"/>
      <c r="E22" s="78"/>
      <c r="F22" s="76"/>
      <c r="G22" s="138" t="s">
        <v>70</v>
      </c>
      <c r="H22" s="139"/>
      <c r="I22" s="142">
        <f>(35000*21)</f>
        <v>735000</v>
      </c>
      <c r="J22" s="143"/>
      <c r="K22" s="78"/>
      <c r="L22" s="138" t="s">
        <v>70</v>
      </c>
      <c r="M22" s="139"/>
      <c r="N22" s="142">
        <f>120000*6</f>
        <v>720000</v>
      </c>
      <c r="O22" s="143"/>
      <c r="P22" s="78"/>
    </row>
    <row r="23" spans="1:16" x14ac:dyDescent="0.25">
      <c r="A23" s="106"/>
      <c r="B23" s="141"/>
      <c r="C23" s="144"/>
      <c r="D23" s="145"/>
      <c r="E23" s="78"/>
      <c r="F23" s="76"/>
      <c r="G23" s="140"/>
      <c r="H23" s="141"/>
      <c r="I23" s="144"/>
      <c r="J23" s="145"/>
      <c r="K23" s="78"/>
      <c r="L23" s="140"/>
      <c r="M23" s="141"/>
      <c r="N23" s="144"/>
      <c r="O23" s="145"/>
      <c r="P23" s="78"/>
    </row>
    <row r="24" spans="1:16" x14ac:dyDescent="0.25">
      <c r="A24" s="185" t="s">
        <v>29</v>
      </c>
      <c r="B24" s="143"/>
      <c r="C24" s="142">
        <f>'COSTO UNITARIO'!C7/4</f>
        <v>227083.33333333334</v>
      </c>
      <c r="D24" s="143"/>
      <c r="E24" s="78"/>
      <c r="F24" s="76"/>
      <c r="G24" s="147" t="s">
        <v>29</v>
      </c>
      <c r="H24" s="143"/>
      <c r="I24" s="142">
        <v>0</v>
      </c>
      <c r="J24" s="143"/>
      <c r="K24" s="78"/>
      <c r="L24" s="147" t="s">
        <v>29</v>
      </c>
      <c r="M24" s="143"/>
      <c r="N24" s="142">
        <v>146875</v>
      </c>
      <c r="O24" s="143"/>
      <c r="P24" s="78"/>
    </row>
    <row r="25" spans="1:16" x14ac:dyDescent="0.25">
      <c r="A25" s="186"/>
      <c r="B25" s="145"/>
      <c r="C25" s="144"/>
      <c r="D25" s="145"/>
      <c r="E25" s="78"/>
      <c r="F25" s="76"/>
      <c r="G25" s="144"/>
      <c r="H25" s="145"/>
      <c r="I25" s="144"/>
      <c r="J25" s="145"/>
      <c r="K25" s="78"/>
      <c r="L25" s="144"/>
      <c r="M25" s="145"/>
      <c r="N25" s="144"/>
      <c r="O25" s="145"/>
      <c r="P25" s="78"/>
    </row>
    <row r="26" spans="1:16" x14ac:dyDescent="0.25">
      <c r="A26" s="185" t="s">
        <v>71</v>
      </c>
      <c r="B26" s="143"/>
      <c r="C26" s="142">
        <f>C22-C24</f>
        <v>472916.66666666663</v>
      </c>
      <c r="D26" s="143"/>
      <c r="E26" s="78"/>
      <c r="F26" s="76"/>
      <c r="G26" s="147" t="s">
        <v>71</v>
      </c>
      <c r="H26" s="143"/>
      <c r="I26" s="142">
        <f>I22-I24</f>
        <v>735000</v>
      </c>
      <c r="J26" s="143"/>
      <c r="K26" s="78"/>
      <c r="L26" s="147" t="s">
        <v>71</v>
      </c>
      <c r="M26" s="143"/>
      <c r="N26" s="142">
        <f>N22-N24</f>
        <v>573125</v>
      </c>
      <c r="O26" s="143"/>
      <c r="P26" s="78"/>
    </row>
    <row r="27" spans="1:16" x14ac:dyDescent="0.25">
      <c r="A27" s="186"/>
      <c r="B27" s="145"/>
      <c r="C27" s="144"/>
      <c r="D27" s="145"/>
      <c r="E27" s="78"/>
      <c r="F27" s="76"/>
      <c r="G27" s="144"/>
      <c r="H27" s="145"/>
      <c r="I27" s="144"/>
      <c r="J27" s="145"/>
      <c r="K27" s="78"/>
      <c r="L27" s="144"/>
      <c r="M27" s="145"/>
      <c r="N27" s="144"/>
      <c r="O27" s="145"/>
      <c r="P27" s="78"/>
    </row>
    <row r="28" spans="1:16" x14ac:dyDescent="0.25">
      <c r="A28" s="185" t="s">
        <v>28</v>
      </c>
      <c r="B28" s="143"/>
      <c r="C28" s="142">
        <f>'COSTO UNITARIO'!B7/4</f>
        <v>184327.4375</v>
      </c>
      <c r="D28" s="143"/>
      <c r="E28" s="78"/>
      <c r="F28" s="76"/>
      <c r="G28" s="147" t="s">
        <v>28</v>
      </c>
      <c r="H28" s="143"/>
      <c r="I28" s="142">
        <f>'COSTO UNITARIO'!B7/4</f>
        <v>184327.4375</v>
      </c>
      <c r="J28" s="143"/>
      <c r="K28" s="78"/>
      <c r="L28" s="147" t="s">
        <v>28</v>
      </c>
      <c r="M28" s="143"/>
      <c r="N28" s="142">
        <f>I11</f>
        <v>184327.4375</v>
      </c>
      <c r="O28" s="143"/>
      <c r="P28" s="78"/>
    </row>
    <row r="29" spans="1:16" x14ac:dyDescent="0.25">
      <c r="A29" s="186"/>
      <c r="B29" s="145"/>
      <c r="C29" s="144"/>
      <c r="D29" s="145"/>
      <c r="E29" s="78"/>
      <c r="F29" s="76"/>
      <c r="G29" s="144"/>
      <c r="H29" s="145"/>
      <c r="I29" s="144"/>
      <c r="J29" s="145"/>
      <c r="K29" s="78"/>
      <c r="L29" s="144"/>
      <c r="M29" s="145"/>
      <c r="N29" s="144"/>
      <c r="O29" s="145"/>
      <c r="P29" s="78"/>
    </row>
    <row r="30" spans="1:16" x14ac:dyDescent="0.25">
      <c r="A30" s="103" t="s">
        <v>72</v>
      </c>
      <c r="B30" s="139"/>
      <c r="C30" s="148">
        <f>C26-C28</f>
        <v>288589.22916666663</v>
      </c>
      <c r="D30" s="149"/>
      <c r="E30" s="78"/>
      <c r="F30" s="76"/>
      <c r="G30" s="138" t="s">
        <v>72</v>
      </c>
      <c r="H30" s="139"/>
      <c r="I30" s="148">
        <f>I26-I28</f>
        <v>550672.5625</v>
      </c>
      <c r="J30" s="149"/>
      <c r="K30" s="78"/>
      <c r="L30" s="138" t="s">
        <v>72</v>
      </c>
      <c r="M30" s="139"/>
      <c r="N30" s="148">
        <f>N26-N28</f>
        <v>388797.5625</v>
      </c>
      <c r="O30" s="149"/>
      <c r="P30" s="78"/>
    </row>
    <row r="31" spans="1:16" x14ac:dyDescent="0.25">
      <c r="A31" s="106"/>
      <c r="B31" s="141"/>
      <c r="C31" s="149"/>
      <c r="D31" s="149"/>
      <c r="E31" s="78"/>
      <c r="F31" s="76"/>
      <c r="G31" s="140"/>
      <c r="H31" s="141"/>
      <c r="I31" s="149"/>
      <c r="J31" s="149"/>
      <c r="K31" s="78"/>
      <c r="L31" s="140"/>
      <c r="M31" s="141"/>
      <c r="N31" s="149"/>
      <c r="O31" s="149"/>
      <c r="P31" s="78"/>
    </row>
    <row r="32" spans="1:16" x14ac:dyDescent="0.25">
      <c r="A32" s="173" t="s">
        <v>185</v>
      </c>
      <c r="B32" s="174"/>
      <c r="C32" s="174"/>
      <c r="D32" s="174"/>
      <c r="E32" s="175"/>
      <c r="F32" s="76"/>
      <c r="G32" s="174" t="s">
        <v>187</v>
      </c>
      <c r="H32" s="174"/>
      <c r="I32" s="174"/>
      <c r="J32" s="174"/>
      <c r="K32" s="175"/>
      <c r="L32" s="174" t="s">
        <v>190</v>
      </c>
      <c r="M32" s="174"/>
      <c r="N32" s="174"/>
      <c r="O32" s="174"/>
      <c r="P32" s="175"/>
    </row>
    <row r="33" spans="1:16" x14ac:dyDescent="0.25">
      <c r="A33" s="173"/>
      <c r="B33" s="174"/>
      <c r="C33" s="174"/>
      <c r="D33" s="174"/>
      <c r="E33" s="175"/>
      <c r="F33" s="76"/>
      <c r="G33" s="174"/>
      <c r="H33" s="174"/>
      <c r="I33" s="174"/>
      <c r="J33" s="174"/>
      <c r="K33" s="175"/>
      <c r="L33" s="174"/>
      <c r="M33" s="174"/>
      <c r="N33" s="174"/>
      <c r="O33" s="174"/>
      <c r="P33" s="175"/>
    </row>
    <row r="34" spans="1:16" x14ac:dyDescent="0.25">
      <c r="A34" s="173"/>
      <c r="B34" s="174"/>
      <c r="C34" s="174"/>
      <c r="D34" s="174"/>
      <c r="E34" s="175"/>
      <c r="F34" s="76"/>
      <c r="G34" s="174"/>
      <c r="H34" s="174"/>
      <c r="I34" s="174"/>
      <c r="J34" s="174"/>
      <c r="K34" s="175"/>
      <c r="L34" s="174"/>
      <c r="M34" s="174"/>
      <c r="N34" s="174"/>
      <c r="O34" s="174"/>
      <c r="P34" s="175"/>
    </row>
    <row r="35" spans="1:16" ht="15.75" thickBot="1" x14ac:dyDescent="0.3">
      <c r="A35" s="76"/>
      <c r="B35" s="13"/>
      <c r="C35" s="12">
        <f>C30</f>
        <v>288589.22916666663</v>
      </c>
      <c r="D35" s="13"/>
      <c r="E35" s="78"/>
      <c r="F35" s="76"/>
      <c r="G35" s="13"/>
      <c r="H35" s="13"/>
      <c r="I35" s="12">
        <f>I30</f>
        <v>550672.5625</v>
      </c>
      <c r="J35" s="13"/>
      <c r="K35" s="78"/>
      <c r="L35" s="13"/>
      <c r="M35" s="13"/>
      <c r="N35" s="12">
        <f>N30</f>
        <v>388797.5625</v>
      </c>
      <c r="O35" s="13"/>
      <c r="P35" s="78"/>
    </row>
    <row r="36" spans="1:16" ht="15.75" thickBot="1" x14ac:dyDescent="0.3">
      <c r="A36" s="134" t="s">
        <v>186</v>
      </c>
      <c r="B36" s="135"/>
      <c r="C36" s="135"/>
      <c r="D36" s="136"/>
      <c r="E36" s="78"/>
      <c r="F36" s="76"/>
      <c r="G36" s="134" t="s">
        <v>186</v>
      </c>
      <c r="H36" s="135"/>
      <c r="I36" s="135"/>
      <c r="J36" s="136"/>
      <c r="K36" s="78"/>
      <c r="L36" s="134" t="s">
        <v>164</v>
      </c>
      <c r="M36" s="135"/>
      <c r="N36" s="135"/>
      <c r="O36" s="136"/>
      <c r="P36" s="78"/>
    </row>
    <row r="37" spans="1:16" x14ac:dyDescent="0.25">
      <c r="A37" s="182" t="s">
        <v>68</v>
      </c>
      <c r="B37" s="137"/>
      <c r="C37" s="137"/>
      <c r="D37" s="137"/>
      <c r="E37" s="78"/>
      <c r="F37" s="76"/>
      <c r="G37" s="137" t="s">
        <v>68</v>
      </c>
      <c r="H37" s="137"/>
      <c r="I37" s="137"/>
      <c r="J37" s="137"/>
      <c r="K37" s="78"/>
      <c r="L37" s="137" t="s">
        <v>68</v>
      </c>
      <c r="M37" s="137"/>
      <c r="N37" s="137"/>
      <c r="O37" s="137"/>
      <c r="P37" s="78"/>
    </row>
    <row r="38" spans="1:16" x14ac:dyDescent="0.25">
      <c r="A38" s="184" t="s">
        <v>69</v>
      </c>
      <c r="B38" s="146"/>
      <c r="C38" s="146"/>
      <c r="D38" s="146"/>
      <c r="E38" s="78"/>
      <c r="F38" s="76"/>
      <c r="G38" s="146" t="s">
        <v>69</v>
      </c>
      <c r="H38" s="146"/>
      <c r="I38" s="146"/>
      <c r="J38" s="146"/>
      <c r="K38" s="78"/>
      <c r="L38" s="146" t="s">
        <v>69</v>
      </c>
      <c r="M38" s="146"/>
      <c r="N38" s="146"/>
      <c r="O38" s="146"/>
      <c r="P38" s="78"/>
    </row>
    <row r="39" spans="1:16" x14ac:dyDescent="0.25">
      <c r="A39" s="103" t="s">
        <v>70</v>
      </c>
      <c r="B39" s="139"/>
      <c r="C39" s="142">
        <f>(110000*7)</f>
        <v>770000</v>
      </c>
      <c r="D39" s="143"/>
      <c r="E39" s="78"/>
      <c r="F39" s="76"/>
      <c r="G39" s="138" t="s">
        <v>70</v>
      </c>
      <c r="H39" s="139"/>
      <c r="I39" s="142">
        <f>(340000*18)</f>
        <v>6120000</v>
      </c>
      <c r="J39" s="143"/>
      <c r="K39" s="78"/>
      <c r="L39" s="138" t="s">
        <v>70</v>
      </c>
      <c r="M39" s="139"/>
      <c r="N39" s="142">
        <f>135000*5</f>
        <v>675000</v>
      </c>
      <c r="O39" s="143"/>
      <c r="P39" s="78"/>
    </row>
    <row r="40" spans="1:16" x14ac:dyDescent="0.25">
      <c r="A40" s="106"/>
      <c r="B40" s="141"/>
      <c r="C40" s="144"/>
      <c r="D40" s="145"/>
      <c r="E40" s="78"/>
      <c r="F40" s="76"/>
      <c r="G40" s="140"/>
      <c r="H40" s="141"/>
      <c r="I40" s="144"/>
      <c r="J40" s="145"/>
      <c r="K40" s="78"/>
      <c r="L40" s="140"/>
      <c r="M40" s="141"/>
      <c r="N40" s="144"/>
      <c r="O40" s="145"/>
      <c r="P40" s="78"/>
    </row>
    <row r="41" spans="1:16" x14ac:dyDescent="0.25">
      <c r="A41" s="185" t="s">
        <v>29</v>
      </c>
      <c r="B41" s="143"/>
      <c r="C41" s="142">
        <f>'COSTO UNITARIO'!C7/4</f>
        <v>227083.33333333334</v>
      </c>
      <c r="D41" s="143"/>
      <c r="E41" s="78"/>
      <c r="F41" s="76"/>
      <c r="G41" s="147" t="s">
        <v>29</v>
      </c>
      <c r="H41" s="143"/>
      <c r="I41" s="142">
        <v>0</v>
      </c>
      <c r="J41" s="143"/>
      <c r="K41" s="78"/>
      <c r="L41" s="147" t="s">
        <v>29</v>
      </c>
      <c r="M41" s="143"/>
      <c r="N41" s="142">
        <v>146875</v>
      </c>
      <c r="O41" s="143"/>
      <c r="P41" s="78"/>
    </row>
    <row r="42" spans="1:16" x14ac:dyDescent="0.25">
      <c r="A42" s="186"/>
      <c r="B42" s="145"/>
      <c r="C42" s="144"/>
      <c r="D42" s="145"/>
      <c r="E42" s="78"/>
      <c r="F42" s="76"/>
      <c r="G42" s="144"/>
      <c r="H42" s="145"/>
      <c r="I42" s="144"/>
      <c r="J42" s="145"/>
      <c r="K42" s="78"/>
      <c r="L42" s="144"/>
      <c r="M42" s="145"/>
      <c r="N42" s="144"/>
      <c r="O42" s="145"/>
      <c r="P42" s="78"/>
    </row>
    <row r="43" spans="1:16" x14ac:dyDescent="0.25">
      <c r="A43" s="185" t="s">
        <v>71</v>
      </c>
      <c r="B43" s="143"/>
      <c r="C43" s="142">
        <f>C39-C41</f>
        <v>542916.66666666663</v>
      </c>
      <c r="D43" s="143"/>
      <c r="E43" s="78"/>
      <c r="F43" s="76"/>
      <c r="G43" s="147" t="s">
        <v>71</v>
      </c>
      <c r="H43" s="143"/>
      <c r="I43" s="142">
        <f>I39-I41</f>
        <v>6120000</v>
      </c>
      <c r="J43" s="143"/>
      <c r="K43" s="78"/>
      <c r="L43" s="147" t="s">
        <v>71</v>
      </c>
      <c r="M43" s="143"/>
      <c r="N43" s="142">
        <f>N39-N41</f>
        <v>528125</v>
      </c>
      <c r="O43" s="143"/>
      <c r="P43" s="78"/>
    </row>
    <row r="44" spans="1:16" x14ac:dyDescent="0.25">
      <c r="A44" s="186"/>
      <c r="B44" s="145"/>
      <c r="C44" s="144"/>
      <c r="D44" s="145"/>
      <c r="E44" s="78"/>
      <c r="F44" s="76"/>
      <c r="G44" s="144"/>
      <c r="H44" s="145"/>
      <c r="I44" s="144"/>
      <c r="J44" s="145"/>
      <c r="K44" s="78"/>
      <c r="L44" s="144"/>
      <c r="M44" s="145"/>
      <c r="N44" s="144"/>
      <c r="O44" s="145"/>
      <c r="P44" s="78"/>
    </row>
    <row r="45" spans="1:16" x14ac:dyDescent="0.25">
      <c r="A45" s="185" t="s">
        <v>28</v>
      </c>
      <c r="B45" s="143"/>
      <c r="C45" s="142">
        <f>'COSTO UNITARIO'!B7/4</f>
        <v>184327.4375</v>
      </c>
      <c r="D45" s="143"/>
      <c r="E45" s="78"/>
      <c r="F45" s="76"/>
      <c r="G45" s="147" t="s">
        <v>28</v>
      </c>
      <c r="H45" s="143"/>
      <c r="I45" s="142">
        <f>'COSTO UNITARIO'!B7/4</f>
        <v>184327.4375</v>
      </c>
      <c r="J45" s="143"/>
      <c r="K45" s="78"/>
      <c r="L45" s="147" t="s">
        <v>28</v>
      </c>
      <c r="M45" s="143"/>
      <c r="N45" s="142">
        <f>I11</f>
        <v>184327.4375</v>
      </c>
      <c r="O45" s="143"/>
      <c r="P45" s="78"/>
    </row>
    <row r="46" spans="1:16" x14ac:dyDescent="0.25">
      <c r="A46" s="186"/>
      <c r="B46" s="145"/>
      <c r="C46" s="144"/>
      <c r="D46" s="145"/>
      <c r="E46" s="78"/>
      <c r="F46" s="76"/>
      <c r="G46" s="144"/>
      <c r="H46" s="145"/>
      <c r="I46" s="144"/>
      <c r="J46" s="145"/>
      <c r="K46" s="78"/>
      <c r="L46" s="144"/>
      <c r="M46" s="145"/>
      <c r="N46" s="144"/>
      <c r="O46" s="145"/>
      <c r="P46" s="78"/>
    </row>
    <row r="47" spans="1:16" x14ac:dyDescent="0.25">
      <c r="A47" s="103" t="s">
        <v>72</v>
      </c>
      <c r="B47" s="139"/>
      <c r="C47" s="148">
        <f>C43-C45</f>
        <v>358589.22916666663</v>
      </c>
      <c r="D47" s="149"/>
      <c r="E47" s="78"/>
      <c r="F47" s="76"/>
      <c r="G47" s="138" t="s">
        <v>72</v>
      </c>
      <c r="H47" s="139"/>
      <c r="I47" s="148">
        <f>I43-I45</f>
        <v>5935672.5625</v>
      </c>
      <c r="J47" s="149"/>
      <c r="K47" s="78"/>
      <c r="L47" s="138" t="s">
        <v>72</v>
      </c>
      <c r="M47" s="139"/>
      <c r="N47" s="148">
        <f>N43-N45</f>
        <v>343797.5625</v>
      </c>
      <c r="O47" s="149"/>
      <c r="P47" s="78"/>
    </row>
    <row r="48" spans="1:16" x14ac:dyDescent="0.25">
      <c r="A48" s="106"/>
      <c r="B48" s="141"/>
      <c r="C48" s="149"/>
      <c r="D48" s="149"/>
      <c r="E48" s="78"/>
      <c r="F48" s="76"/>
      <c r="G48" s="140"/>
      <c r="H48" s="141"/>
      <c r="I48" s="149"/>
      <c r="J48" s="149"/>
      <c r="K48" s="78"/>
      <c r="L48" s="140"/>
      <c r="M48" s="141"/>
      <c r="N48" s="149"/>
      <c r="O48" s="149"/>
      <c r="P48" s="78"/>
    </row>
    <row r="49" spans="1:16" x14ac:dyDescent="0.25">
      <c r="A49" s="173" t="s">
        <v>185</v>
      </c>
      <c r="B49" s="174"/>
      <c r="C49" s="174"/>
      <c r="D49" s="174"/>
      <c r="E49" s="175"/>
      <c r="F49" s="76"/>
      <c r="G49" s="174" t="s">
        <v>188</v>
      </c>
      <c r="H49" s="174"/>
      <c r="I49" s="174"/>
      <c r="J49" s="174"/>
      <c r="K49" s="175"/>
      <c r="L49" s="174" t="s">
        <v>189</v>
      </c>
      <c r="M49" s="174"/>
      <c r="N49" s="174"/>
      <c r="O49" s="174"/>
      <c r="P49" s="175"/>
    </row>
    <row r="50" spans="1:16" x14ac:dyDescent="0.25">
      <c r="A50" s="173"/>
      <c r="B50" s="174"/>
      <c r="C50" s="174"/>
      <c r="D50" s="174"/>
      <c r="E50" s="175"/>
      <c r="F50" s="76"/>
      <c r="G50" s="174"/>
      <c r="H50" s="174"/>
      <c r="I50" s="174"/>
      <c r="J50" s="174"/>
      <c r="K50" s="175"/>
      <c r="L50" s="174"/>
      <c r="M50" s="174"/>
      <c r="N50" s="174"/>
      <c r="O50" s="174"/>
      <c r="P50" s="175"/>
    </row>
    <row r="51" spans="1:16" x14ac:dyDescent="0.25">
      <c r="A51" s="173"/>
      <c r="B51" s="174"/>
      <c r="C51" s="174"/>
      <c r="D51" s="174"/>
      <c r="E51" s="175"/>
      <c r="F51" s="76"/>
      <c r="G51" s="174"/>
      <c r="H51" s="174"/>
      <c r="I51" s="174"/>
      <c r="J51" s="174"/>
      <c r="K51" s="175"/>
      <c r="L51" s="174"/>
      <c r="M51" s="174"/>
      <c r="N51" s="174"/>
      <c r="O51" s="174"/>
      <c r="P51" s="175"/>
    </row>
    <row r="52" spans="1:16" ht="15.75" thickBot="1" x14ac:dyDescent="0.3">
      <c r="A52" s="80"/>
      <c r="B52" s="81"/>
      <c r="C52" s="82">
        <f>C47</f>
        <v>358589.22916666663</v>
      </c>
      <c r="D52" s="81"/>
      <c r="E52" s="26"/>
      <c r="F52" s="80"/>
      <c r="G52" s="81"/>
      <c r="H52" s="81"/>
      <c r="I52" s="82">
        <f>I47</f>
        <v>5935672.5625</v>
      </c>
      <c r="J52" s="81"/>
      <c r="K52" s="26"/>
      <c r="L52" s="81"/>
      <c r="M52" s="81"/>
      <c r="N52" s="82">
        <f>N47</f>
        <v>343797.5625</v>
      </c>
      <c r="O52" s="81"/>
      <c r="P52" s="26"/>
    </row>
  </sheetData>
  <mergeCells count="135">
    <mergeCell ref="L49:P51"/>
    <mergeCell ref="L45:M46"/>
    <mergeCell ref="N45:O46"/>
    <mergeCell ref="L47:M48"/>
    <mergeCell ref="N47:O48"/>
    <mergeCell ref="L32:P34"/>
    <mergeCell ref="L39:M40"/>
    <mergeCell ref="N39:O40"/>
    <mergeCell ref="L41:M42"/>
    <mergeCell ref="N41:O42"/>
    <mergeCell ref="L43:M44"/>
    <mergeCell ref="N43:O44"/>
    <mergeCell ref="N30:O31"/>
    <mergeCell ref="L36:O36"/>
    <mergeCell ref="L37:O37"/>
    <mergeCell ref="L38:M38"/>
    <mergeCell ref="N38:O38"/>
    <mergeCell ref="G47:H48"/>
    <mergeCell ref="I47:J48"/>
    <mergeCell ref="G49:K51"/>
    <mergeCell ref="L19:O19"/>
    <mergeCell ref="L20:O20"/>
    <mergeCell ref="L21:M21"/>
    <mergeCell ref="N21:O21"/>
    <mergeCell ref="L22:M23"/>
    <mergeCell ref="N22:O23"/>
    <mergeCell ref="L24:M25"/>
    <mergeCell ref="N24:O25"/>
    <mergeCell ref="L26:M27"/>
    <mergeCell ref="N26:O27"/>
    <mergeCell ref="L28:M29"/>
    <mergeCell ref="N28:O29"/>
    <mergeCell ref="L30:M31"/>
    <mergeCell ref="G41:H42"/>
    <mergeCell ref="I41:J42"/>
    <mergeCell ref="G43:H44"/>
    <mergeCell ref="I43:J44"/>
    <mergeCell ref="G45:H46"/>
    <mergeCell ref="I45:J46"/>
    <mergeCell ref="G36:J36"/>
    <mergeCell ref="G37:J37"/>
    <mergeCell ref="G38:H38"/>
    <mergeCell ref="I38:J38"/>
    <mergeCell ref="G39:H40"/>
    <mergeCell ref="I39:J40"/>
    <mergeCell ref="A49:E51"/>
    <mergeCell ref="G19:J19"/>
    <mergeCell ref="G20:J20"/>
    <mergeCell ref="G21:H21"/>
    <mergeCell ref="I21:J21"/>
    <mergeCell ref="G22:H23"/>
    <mergeCell ref="I22:J23"/>
    <mergeCell ref="G24:H25"/>
    <mergeCell ref="I24:J25"/>
    <mergeCell ref="G26:H27"/>
    <mergeCell ref="I26:J27"/>
    <mergeCell ref="G28:H29"/>
    <mergeCell ref="I28:J29"/>
    <mergeCell ref="G30:H31"/>
    <mergeCell ref="I30:J31"/>
    <mergeCell ref="G32:K34"/>
    <mergeCell ref="A43:B44"/>
    <mergeCell ref="C43:D44"/>
    <mergeCell ref="A45:B46"/>
    <mergeCell ref="C45:D46"/>
    <mergeCell ref="A47:B48"/>
    <mergeCell ref="C47:D48"/>
    <mergeCell ref="A38:B38"/>
    <mergeCell ref="C38:D38"/>
    <mergeCell ref="A39:B40"/>
    <mergeCell ref="C39:D40"/>
    <mergeCell ref="A41:B42"/>
    <mergeCell ref="C41:D42"/>
    <mergeCell ref="A30:B31"/>
    <mergeCell ref="C30:D31"/>
    <mergeCell ref="A32:E34"/>
    <mergeCell ref="A36:D36"/>
    <mergeCell ref="A37:D37"/>
    <mergeCell ref="A24:B25"/>
    <mergeCell ref="C24:D25"/>
    <mergeCell ref="A26:B27"/>
    <mergeCell ref="C26:D27"/>
    <mergeCell ref="A28:B29"/>
    <mergeCell ref="C28:D29"/>
    <mergeCell ref="A19:D19"/>
    <mergeCell ref="A20:D20"/>
    <mergeCell ref="A21:B21"/>
    <mergeCell ref="C21:D21"/>
    <mergeCell ref="A22:B23"/>
    <mergeCell ref="C22:D23"/>
    <mergeCell ref="L15:P17"/>
    <mergeCell ref="A15:E17"/>
    <mergeCell ref="G15:K17"/>
    <mergeCell ref="L2:O2"/>
    <mergeCell ref="L3:O3"/>
    <mergeCell ref="L4:M4"/>
    <mergeCell ref="N4:O4"/>
    <mergeCell ref="L5:M6"/>
    <mergeCell ref="N5:O6"/>
    <mergeCell ref="L7:M8"/>
    <mergeCell ref="N7:O8"/>
    <mergeCell ref="L9:M10"/>
    <mergeCell ref="N9:O10"/>
    <mergeCell ref="L11:M12"/>
    <mergeCell ref="N11:O12"/>
    <mergeCell ref="L13:M14"/>
    <mergeCell ref="N13:O14"/>
    <mergeCell ref="A11:B12"/>
    <mergeCell ref="C11:D12"/>
    <mergeCell ref="G11:H12"/>
    <mergeCell ref="I11:J12"/>
    <mergeCell ref="A13:B14"/>
    <mergeCell ref="C13:D14"/>
    <mergeCell ref="G13:H14"/>
    <mergeCell ref="I13:J14"/>
    <mergeCell ref="A7:B8"/>
    <mergeCell ref="C7:D8"/>
    <mergeCell ref="G7:H8"/>
    <mergeCell ref="I7:J8"/>
    <mergeCell ref="A9:B10"/>
    <mergeCell ref="C9:D10"/>
    <mergeCell ref="G9:H10"/>
    <mergeCell ref="I9:J10"/>
    <mergeCell ref="A5:B6"/>
    <mergeCell ref="C5:D6"/>
    <mergeCell ref="G5:H6"/>
    <mergeCell ref="I5:J6"/>
    <mergeCell ref="A4:B4"/>
    <mergeCell ref="C4:D4"/>
    <mergeCell ref="G4:H4"/>
    <mergeCell ref="I4:J4"/>
    <mergeCell ref="A2:D2"/>
    <mergeCell ref="G2:J2"/>
    <mergeCell ref="A3:D3"/>
    <mergeCell ref="G3:J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workbookViewId="0">
      <selection activeCell="A21" sqref="A21"/>
    </sheetView>
  </sheetViews>
  <sheetFormatPr baseColWidth="10" defaultRowHeight="15" x14ac:dyDescent="0.25"/>
  <cols>
    <col min="1" max="1" width="16.7109375" bestFit="1" customWidth="1"/>
    <col min="4" max="4" width="17.85546875" bestFit="1" customWidth="1"/>
    <col min="5" max="5" width="16.7109375" bestFit="1" customWidth="1"/>
    <col min="6" max="6" width="17" bestFit="1" customWidth="1"/>
    <col min="7" max="7" width="14.28515625" bestFit="1" customWidth="1"/>
  </cols>
  <sheetData>
    <row r="1" spans="1:7" x14ac:dyDescent="0.25">
      <c r="A1" s="150" t="s">
        <v>73</v>
      </c>
      <c r="B1" s="151"/>
      <c r="C1" s="151"/>
      <c r="D1" s="151"/>
      <c r="E1" s="151"/>
      <c r="F1" s="151"/>
      <c r="G1" s="151"/>
    </row>
    <row r="2" spans="1:7" x14ac:dyDescent="0.25">
      <c r="A2" s="151"/>
      <c r="B2" s="151"/>
      <c r="C2" s="151"/>
      <c r="D2" s="151"/>
      <c r="E2" s="151"/>
      <c r="F2" s="151"/>
      <c r="G2" s="151"/>
    </row>
    <row r="3" spans="1:7" ht="15.75" thickBot="1" x14ac:dyDescent="0.3"/>
    <row r="4" spans="1:7" ht="15.75" thickBot="1" x14ac:dyDescent="0.3">
      <c r="A4" s="152" t="s">
        <v>74</v>
      </c>
      <c r="B4" s="153"/>
      <c r="C4" s="153"/>
      <c r="D4" s="154"/>
      <c r="E4" s="15" t="s">
        <v>101</v>
      </c>
      <c r="F4" s="15" t="s">
        <v>102</v>
      </c>
      <c r="G4" s="15" t="s">
        <v>100</v>
      </c>
    </row>
    <row r="5" spans="1:7" ht="15.75" thickBot="1" x14ac:dyDescent="0.3">
      <c r="A5" s="155" t="s">
        <v>75</v>
      </c>
      <c r="B5" s="156"/>
      <c r="C5" s="156"/>
      <c r="D5" s="157"/>
      <c r="E5" s="16">
        <v>40</v>
      </c>
      <c r="F5" s="16">
        <v>60</v>
      </c>
      <c r="G5" s="16">
        <v>20</v>
      </c>
    </row>
    <row r="6" spans="1:7" ht="15.75" thickBot="1" x14ac:dyDescent="0.3">
      <c r="A6" s="155" t="s">
        <v>76</v>
      </c>
      <c r="B6" s="156"/>
      <c r="C6" s="156"/>
      <c r="D6" s="157"/>
      <c r="E6" s="35">
        <f>'COSTO UNITARIO'!C7</f>
        <v>908333.33333333337</v>
      </c>
      <c r="F6" s="35">
        <f>'COSTO UNITARIO'!C7</f>
        <v>908333.33333333337</v>
      </c>
      <c r="G6" s="35">
        <v>587500</v>
      </c>
    </row>
    <row r="7" spans="1:7" ht="15.75" thickBot="1" x14ac:dyDescent="0.3">
      <c r="A7" s="155" t="s">
        <v>77</v>
      </c>
      <c r="B7" s="156"/>
      <c r="C7" s="156"/>
      <c r="D7" s="156"/>
      <c r="E7" s="148">
        <f>'COSTO UNITARIO'!B7</f>
        <v>737309.75</v>
      </c>
      <c r="F7" s="148"/>
      <c r="G7" s="148"/>
    </row>
    <row r="8" spans="1:7" ht="15.75" thickBot="1" x14ac:dyDescent="0.3">
      <c r="A8" s="155" t="s">
        <v>78</v>
      </c>
      <c r="B8" s="156"/>
      <c r="C8" s="156"/>
      <c r="D8" s="157"/>
      <c r="E8" s="36">
        <v>150000</v>
      </c>
      <c r="F8" s="36">
        <v>50000</v>
      </c>
      <c r="G8" s="36">
        <v>200000</v>
      </c>
    </row>
    <row r="9" spans="1:7" ht="15.75" thickBot="1" x14ac:dyDescent="0.3">
      <c r="A9" s="155" t="s">
        <v>40</v>
      </c>
      <c r="B9" s="156"/>
      <c r="C9" s="156"/>
      <c r="D9" s="157"/>
      <c r="E9" s="17">
        <f>'PRECIO DE VENTA'!B5</f>
        <v>83598.668633333349</v>
      </c>
      <c r="F9" s="18">
        <f>'PRECIO DE VENTA'!B15</f>
        <v>16958.124249999997</v>
      </c>
      <c r="G9" s="17">
        <f>'PRECIO DE VENTA'!D5</f>
        <v>177815.02644033334</v>
      </c>
    </row>
    <row r="10" spans="1:7" x14ac:dyDescent="0.25">
      <c r="A10" s="28"/>
      <c r="B10" s="28"/>
      <c r="C10" s="28"/>
      <c r="D10" s="28"/>
      <c r="E10" s="12"/>
      <c r="F10" s="12"/>
    </row>
    <row r="11" spans="1:7" ht="15.75" thickBot="1" x14ac:dyDescent="0.3">
      <c r="A11" t="s">
        <v>79</v>
      </c>
    </row>
    <row r="12" spans="1:7" x14ac:dyDescent="0.25">
      <c r="A12" s="158" t="s">
        <v>80</v>
      </c>
      <c r="B12" s="160" t="s">
        <v>81</v>
      </c>
      <c r="C12" s="160" t="s">
        <v>82</v>
      </c>
      <c r="D12" s="160" t="s">
        <v>83</v>
      </c>
      <c r="E12" s="158" t="s">
        <v>84</v>
      </c>
      <c r="F12" s="158" t="s">
        <v>85</v>
      </c>
      <c r="G12" s="160" t="s">
        <v>86</v>
      </c>
    </row>
    <row r="13" spans="1:7" ht="15.75" thickBot="1" x14ac:dyDescent="0.3">
      <c r="A13" s="159"/>
      <c r="B13" s="161"/>
      <c r="C13" s="161"/>
      <c r="D13" s="161"/>
      <c r="E13" s="159"/>
      <c r="F13" s="159"/>
      <c r="G13" s="161"/>
    </row>
    <row r="14" spans="1:7" ht="15.75" thickBot="1" x14ac:dyDescent="0.3">
      <c r="A14" s="1" t="s">
        <v>101</v>
      </c>
      <c r="B14" s="1">
        <v>40</v>
      </c>
      <c r="C14" s="17">
        <v>150000</v>
      </c>
      <c r="D14" s="17">
        <f>E6</f>
        <v>908333.33333333337</v>
      </c>
      <c r="E14" s="17">
        <f>E9</f>
        <v>83598.668633333349</v>
      </c>
      <c r="F14" s="19">
        <f>B14/B17</f>
        <v>0.33333333333333331</v>
      </c>
      <c r="G14" s="20">
        <f>E14*F14</f>
        <v>27866.222877777782</v>
      </c>
    </row>
    <row r="15" spans="1:7" ht="15.75" thickBot="1" x14ac:dyDescent="0.3">
      <c r="A15" s="1" t="s">
        <v>102</v>
      </c>
      <c r="B15" s="1">
        <v>60</v>
      </c>
      <c r="C15" s="17">
        <v>50000</v>
      </c>
      <c r="D15" s="17">
        <f>E6</f>
        <v>908333.33333333337</v>
      </c>
      <c r="E15" s="18">
        <f>F9</f>
        <v>16958.124249999997</v>
      </c>
      <c r="F15" s="19">
        <f>B15/B17</f>
        <v>0.5</v>
      </c>
      <c r="G15" s="20">
        <f>E15*F15</f>
        <v>8479.0621249999986</v>
      </c>
    </row>
    <row r="16" spans="1:7" ht="15.75" thickBot="1" x14ac:dyDescent="0.3">
      <c r="A16" s="1" t="s">
        <v>100</v>
      </c>
      <c r="B16" s="1">
        <v>20</v>
      </c>
      <c r="C16" s="17">
        <v>200000</v>
      </c>
      <c r="D16" s="17">
        <f>E6</f>
        <v>908333.33333333337</v>
      </c>
      <c r="E16" s="18">
        <f>G9</f>
        <v>177815.02644033334</v>
      </c>
      <c r="F16" s="19">
        <f>B16/B17</f>
        <v>0.16666666666666666</v>
      </c>
      <c r="G16" s="20">
        <f>E16*F16</f>
        <v>29635.837740055555</v>
      </c>
    </row>
    <row r="17" spans="1:7" ht="15.75" thickBot="1" x14ac:dyDescent="0.3">
      <c r="A17" s="1" t="s">
        <v>87</v>
      </c>
      <c r="B17" s="1">
        <f>B14+B15+B16</f>
        <v>120</v>
      </c>
      <c r="F17" s="21" t="s">
        <v>88</v>
      </c>
      <c r="G17" s="22">
        <f>G14+G15</f>
        <v>36345.285002777782</v>
      </c>
    </row>
    <row r="19" spans="1:7" x14ac:dyDescent="0.25">
      <c r="A19" s="91" t="s">
        <v>148</v>
      </c>
      <c r="B19" s="91"/>
      <c r="C19" s="91"/>
      <c r="D19" s="91"/>
      <c r="E19" s="91"/>
      <c r="F19" s="91"/>
    </row>
    <row r="20" spans="1:7" x14ac:dyDescent="0.25">
      <c r="A20" s="91"/>
      <c r="B20" s="91"/>
      <c r="C20" s="91"/>
      <c r="D20" s="91"/>
      <c r="E20" s="91"/>
      <c r="F20" s="91"/>
    </row>
    <row r="21" spans="1:7" x14ac:dyDescent="0.25">
      <c r="A21" s="23">
        <f>PRESUPUESTO!T38</f>
        <v>8847717</v>
      </c>
      <c r="B21" s="23">
        <f>G17</f>
        <v>36345.285002777782</v>
      </c>
      <c r="C21" s="24" t="s">
        <v>89</v>
      </c>
      <c r="D21" s="24">
        <f>A21/B21</f>
        <v>243.43507003243448</v>
      </c>
    </row>
    <row r="22" spans="1:7" ht="15" customHeight="1" x14ac:dyDescent="0.25">
      <c r="A22" s="91" t="s">
        <v>97</v>
      </c>
      <c r="B22" s="91"/>
      <c r="C22" s="91"/>
      <c r="D22" s="91"/>
      <c r="E22" s="91"/>
      <c r="F22" s="91"/>
    </row>
    <row r="23" spans="1:7" x14ac:dyDescent="0.25">
      <c r="A23" s="91"/>
      <c r="B23" s="91"/>
      <c r="C23" s="91"/>
      <c r="D23" s="91"/>
      <c r="E23" s="91"/>
      <c r="F23" s="91"/>
    </row>
    <row r="24" spans="1:7" ht="15.75" thickBot="1" x14ac:dyDescent="0.3">
      <c r="A24" s="91"/>
      <c r="B24" s="91"/>
      <c r="C24" s="91"/>
      <c r="D24" s="91"/>
      <c r="E24" s="91"/>
      <c r="F24" s="91"/>
    </row>
    <row r="25" spans="1:7" ht="15.75" thickBot="1" x14ac:dyDescent="0.3">
      <c r="A25" s="1" t="s">
        <v>80</v>
      </c>
    </row>
    <row r="26" spans="1:7" ht="15.75" thickBot="1" x14ac:dyDescent="0.3">
      <c r="A26" s="1" t="s">
        <v>101</v>
      </c>
      <c r="B26" s="1">
        <v>120</v>
      </c>
      <c r="C26" s="27">
        <f>D26/B26</f>
        <v>0.33333333333333331</v>
      </c>
      <c r="D26" s="25">
        <v>40</v>
      </c>
    </row>
    <row r="27" spans="1:7" ht="15.75" thickBot="1" x14ac:dyDescent="0.3">
      <c r="A27" s="1" t="s">
        <v>103</v>
      </c>
      <c r="B27" s="1">
        <v>120</v>
      </c>
      <c r="C27" s="27">
        <f>D27/B27</f>
        <v>0.5</v>
      </c>
      <c r="D27" s="37">
        <v>60</v>
      </c>
    </row>
    <row r="28" spans="1:7" ht="15.75" thickBot="1" x14ac:dyDescent="0.3">
      <c r="A28" s="1" t="s">
        <v>100</v>
      </c>
      <c r="B28" s="1">
        <v>120</v>
      </c>
      <c r="C28" s="27">
        <f>D28/B28</f>
        <v>0.16666666666666666</v>
      </c>
      <c r="D28" s="26">
        <v>20</v>
      </c>
    </row>
    <row r="30" spans="1:7" ht="15.75" thickBot="1" x14ac:dyDescent="0.3">
      <c r="A30" s="162" t="s">
        <v>99</v>
      </c>
      <c r="B30" s="162"/>
      <c r="C30" s="162"/>
      <c r="D30" s="162"/>
      <c r="E30" s="162"/>
      <c r="F30" s="162"/>
    </row>
    <row r="31" spans="1:7" ht="15.75" thickBot="1" x14ac:dyDescent="0.3">
      <c r="A31" s="1" t="s">
        <v>90</v>
      </c>
    </row>
    <row r="32" spans="1:7" ht="15.75" thickBot="1" x14ac:dyDescent="0.3">
      <c r="A32" s="1" t="s">
        <v>101</v>
      </c>
      <c r="B32" s="17">
        <f>'COSTO UNITARIO'!B7</f>
        <v>737309.75</v>
      </c>
      <c r="C32" s="1">
        <v>40</v>
      </c>
      <c r="D32" s="17">
        <f>B32*C32</f>
        <v>29492390</v>
      </c>
    </row>
    <row r="33" spans="1:6" ht="15.75" thickBot="1" x14ac:dyDescent="0.3">
      <c r="A33" s="1" t="s">
        <v>102</v>
      </c>
      <c r="B33" s="18">
        <v>1492409.1666666667</v>
      </c>
      <c r="C33" s="1">
        <v>60</v>
      </c>
      <c r="D33" s="17">
        <v>89544550</v>
      </c>
    </row>
    <row r="34" spans="1:6" ht="15.75" thickBot="1" x14ac:dyDescent="0.3">
      <c r="A34" s="1" t="s">
        <v>100</v>
      </c>
      <c r="B34" s="18">
        <v>1492409.1666666667</v>
      </c>
      <c r="C34" s="1">
        <v>20</v>
      </c>
      <c r="D34" s="17">
        <f>B34*C34</f>
        <v>29848183.333333336</v>
      </c>
    </row>
    <row r="36" spans="1:6" ht="15.75" thickBot="1" x14ac:dyDescent="0.3"/>
    <row r="37" spans="1:6" ht="15.75" thickBot="1" x14ac:dyDescent="0.3">
      <c r="A37" s="134" t="s">
        <v>91</v>
      </c>
      <c r="B37" s="135"/>
      <c r="C37" s="136"/>
      <c r="D37" s="16" t="s">
        <v>101</v>
      </c>
      <c r="E37" s="16" t="s">
        <v>102</v>
      </c>
      <c r="F37" s="16" t="s">
        <v>100</v>
      </c>
    </row>
    <row r="38" spans="1:6" ht="15.75" thickBot="1" x14ac:dyDescent="0.3">
      <c r="A38" s="155" t="s">
        <v>92</v>
      </c>
      <c r="B38" s="156"/>
      <c r="C38" s="157"/>
      <c r="D38" s="17">
        <f>C14*D26</f>
        <v>6000000</v>
      </c>
      <c r="E38" s="17">
        <f>C15*D27</f>
        <v>3000000</v>
      </c>
      <c r="F38" s="17">
        <f>C16*D28</f>
        <v>4000000</v>
      </c>
    </row>
    <row r="39" spans="1:6" ht="15.75" thickBot="1" x14ac:dyDescent="0.3">
      <c r="A39" s="155" t="s">
        <v>93</v>
      </c>
      <c r="B39" s="156"/>
      <c r="C39" s="157"/>
      <c r="D39" s="17">
        <f>'COSTO UNITARIO'!C7</f>
        <v>908333.33333333337</v>
      </c>
      <c r="E39" s="17">
        <v>0</v>
      </c>
      <c r="F39" s="17">
        <v>0</v>
      </c>
    </row>
    <row r="40" spans="1:6" ht="15.75" thickBot="1" x14ac:dyDescent="0.3">
      <c r="A40" s="155" t="s">
        <v>94</v>
      </c>
      <c r="B40" s="156"/>
      <c r="C40" s="157"/>
      <c r="D40" s="17">
        <f>D38-D39</f>
        <v>5091666.666666667</v>
      </c>
      <c r="E40" s="17">
        <f>E38-E39</f>
        <v>3000000</v>
      </c>
      <c r="F40" s="17">
        <f>F38-F39</f>
        <v>4000000</v>
      </c>
    </row>
    <row r="41" spans="1:6" ht="15.75" thickBot="1" x14ac:dyDescent="0.3">
      <c r="A41" s="155" t="s">
        <v>95</v>
      </c>
      <c r="B41" s="156"/>
      <c r="C41" s="157"/>
      <c r="D41" s="17">
        <f>'COSTO UNITARIO'!B7</f>
        <v>737309.75</v>
      </c>
      <c r="E41" s="17">
        <v>1492409.1666666667</v>
      </c>
      <c r="F41" s="17">
        <v>1492410.16666667</v>
      </c>
    </row>
    <row r="42" spans="1:6" ht="15.75" thickBot="1" x14ac:dyDescent="0.3">
      <c r="A42" s="155" t="s">
        <v>96</v>
      </c>
      <c r="B42" s="156"/>
      <c r="C42" s="157"/>
      <c r="D42" s="17">
        <f>D40-D41</f>
        <v>4354356.916666667</v>
      </c>
      <c r="E42" s="17">
        <f>E40-E41</f>
        <v>1507590.8333333333</v>
      </c>
      <c r="F42" s="17">
        <f>F40-F41</f>
        <v>2507589.8333333302</v>
      </c>
    </row>
  </sheetData>
  <mergeCells count="24">
    <mergeCell ref="A39:C39"/>
    <mergeCell ref="A40:C40"/>
    <mergeCell ref="A41:C41"/>
    <mergeCell ref="A42:C42"/>
    <mergeCell ref="G12:G13"/>
    <mergeCell ref="A19:F20"/>
    <mergeCell ref="A22:F24"/>
    <mergeCell ref="A30:F30"/>
    <mergeCell ref="A37:C37"/>
    <mergeCell ref="A38:C38"/>
    <mergeCell ref="E12:E13"/>
    <mergeCell ref="F12:F13"/>
    <mergeCell ref="A8:D8"/>
    <mergeCell ref="A9:D9"/>
    <mergeCell ref="A12:A13"/>
    <mergeCell ref="B12:B13"/>
    <mergeCell ref="C12:C13"/>
    <mergeCell ref="D12:D13"/>
    <mergeCell ref="A1:G2"/>
    <mergeCell ref="A4:D4"/>
    <mergeCell ref="A5:D5"/>
    <mergeCell ref="A6:D6"/>
    <mergeCell ref="A7:D7"/>
    <mergeCell ref="E7:G7"/>
  </mergeCells>
  <pageMargins left="0.7" right="0.7" top="0.75" bottom="0.75" header="0.3" footer="0.3"/>
  <pageSetup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workbookViewId="0">
      <selection activeCell="D19" sqref="D19"/>
    </sheetView>
  </sheetViews>
  <sheetFormatPr baseColWidth="10" defaultRowHeight="15" x14ac:dyDescent="0.25"/>
  <cols>
    <col min="1" max="1" width="23.5703125" bestFit="1" customWidth="1"/>
    <col min="2" max="2" width="12" bestFit="1" customWidth="1"/>
    <col min="3" max="3" width="17.42578125" bestFit="1" customWidth="1"/>
    <col min="4" max="5" width="16.5703125" customWidth="1"/>
    <col min="7" max="7" width="23.5703125" bestFit="1" customWidth="1"/>
    <col min="8" max="8" width="12" bestFit="1" customWidth="1"/>
    <col min="9" max="9" width="17.42578125" bestFit="1" customWidth="1"/>
    <col min="10" max="10" width="16.5703125" bestFit="1" customWidth="1"/>
  </cols>
  <sheetData>
    <row r="1" spans="1:14" ht="15.75" thickBot="1" x14ac:dyDescent="0.3">
      <c r="A1" s="163" t="s">
        <v>130</v>
      </c>
      <c r="B1" s="164"/>
      <c r="C1" s="164"/>
      <c r="D1" s="165"/>
      <c r="E1" s="33"/>
      <c r="G1" s="134" t="s">
        <v>131</v>
      </c>
      <c r="H1" s="135"/>
      <c r="I1" s="135"/>
      <c r="J1" s="136"/>
    </row>
    <row r="2" spans="1:14" ht="15.75" thickBot="1" x14ac:dyDescent="0.3">
      <c r="A2" s="163" t="s">
        <v>111</v>
      </c>
      <c r="B2" s="164"/>
      <c r="C2" s="164"/>
      <c r="D2" s="165"/>
      <c r="E2" s="33"/>
      <c r="G2" s="134" t="s">
        <v>111</v>
      </c>
      <c r="H2" s="135"/>
      <c r="I2" s="135"/>
      <c r="J2" s="136"/>
    </row>
    <row r="3" spans="1:14" x14ac:dyDescent="0.25">
      <c r="A3" s="73" t="s">
        <v>109</v>
      </c>
      <c r="B3" s="73" t="s">
        <v>113</v>
      </c>
      <c r="C3" s="73" t="s">
        <v>139</v>
      </c>
      <c r="D3" s="73" t="s">
        <v>110</v>
      </c>
      <c r="E3" s="33"/>
      <c r="G3" s="46" t="s">
        <v>109</v>
      </c>
      <c r="H3" s="46" t="s">
        <v>132</v>
      </c>
      <c r="I3" s="46" t="s">
        <v>139</v>
      </c>
      <c r="J3" s="46" t="s">
        <v>129</v>
      </c>
    </row>
    <row r="4" spans="1:14" x14ac:dyDescent="0.25">
      <c r="A4" s="40">
        <v>737717</v>
      </c>
      <c r="B4" s="40">
        <v>200000</v>
      </c>
      <c r="C4" s="48">
        <v>83140</v>
      </c>
      <c r="D4" s="41">
        <v>180</v>
      </c>
      <c r="E4" s="47"/>
      <c r="G4" s="44">
        <v>737717</v>
      </c>
      <c r="H4" s="44">
        <v>200000</v>
      </c>
      <c r="I4" s="44">
        <v>83140</v>
      </c>
      <c r="J4" s="41">
        <v>180</v>
      </c>
      <c r="N4" s="45"/>
    </row>
    <row r="5" spans="1:14" x14ac:dyDescent="0.25">
      <c r="N5" s="45"/>
    </row>
    <row r="6" spans="1:14" x14ac:dyDescent="0.25">
      <c r="A6" s="6" t="s">
        <v>112</v>
      </c>
      <c r="B6" s="39">
        <f>A4+B4+C4*D4/360</f>
        <v>979287</v>
      </c>
      <c r="G6" s="6" t="s">
        <v>112</v>
      </c>
      <c r="H6" s="34">
        <f>G4+H4+I4*J4/360</f>
        <v>979287</v>
      </c>
      <c r="I6" s="49"/>
    </row>
    <row r="7" spans="1:14" x14ac:dyDescent="0.25">
      <c r="A7" s="6" t="s">
        <v>114</v>
      </c>
      <c r="B7" s="39">
        <f>A4+B4*D4/720</f>
        <v>787717</v>
      </c>
      <c r="G7" s="6" t="s">
        <v>114</v>
      </c>
      <c r="H7" s="34">
        <f>G4+H4*J4/720</f>
        <v>787717</v>
      </c>
      <c r="I7" s="49"/>
    </row>
    <row r="8" spans="1:14" x14ac:dyDescent="0.25">
      <c r="A8" s="6" t="s">
        <v>115</v>
      </c>
      <c r="B8" s="39">
        <f>A4+B4+C4*D4/360</f>
        <v>979287</v>
      </c>
      <c r="G8" s="6" t="s">
        <v>115</v>
      </c>
      <c r="H8" s="34">
        <f>G4+H4+I4*J4/360</f>
        <v>979287</v>
      </c>
      <c r="I8" s="49"/>
      <c r="L8" s="45"/>
    </row>
    <row r="9" spans="1:14" x14ac:dyDescent="0.25">
      <c r="A9" s="6" t="s">
        <v>116</v>
      </c>
      <c r="B9" s="39">
        <f>(B8*D4*0.12)/360</f>
        <v>58757.22</v>
      </c>
      <c r="G9" s="6" t="s">
        <v>116</v>
      </c>
      <c r="H9" s="34">
        <f>(H8*J4*0.12)/360</f>
        <v>58757.22</v>
      </c>
      <c r="I9" s="49"/>
    </row>
    <row r="10" spans="1:14" x14ac:dyDescent="0.25">
      <c r="A10" s="6" t="s">
        <v>87</v>
      </c>
      <c r="B10" s="39">
        <f>SUM(B6:B9)</f>
        <v>2805048.22</v>
      </c>
      <c r="G10" s="6" t="s">
        <v>87</v>
      </c>
      <c r="H10" s="34">
        <f>SUM(H6:H9)</f>
        <v>2805048.22</v>
      </c>
      <c r="I10" s="49"/>
    </row>
    <row r="11" spans="1:14" x14ac:dyDescent="0.25">
      <c r="B11" s="38"/>
    </row>
    <row r="12" spans="1:14" x14ac:dyDescent="0.25">
      <c r="A12" s="42" t="s">
        <v>121</v>
      </c>
      <c r="B12" s="39">
        <f>(A4+B4+C4)*0.04</f>
        <v>40834.28</v>
      </c>
      <c r="G12" s="42" t="s">
        <v>121</v>
      </c>
      <c r="H12" s="34">
        <f>(G4+H4+I4)*0.04</f>
        <v>40834.28</v>
      </c>
      <c r="I12" s="49"/>
    </row>
    <row r="13" spans="1:14" x14ac:dyDescent="0.25">
      <c r="A13" s="42" t="s">
        <v>117</v>
      </c>
      <c r="B13" s="39">
        <f>(A4+B4+C4)*0.03</f>
        <v>30625.71</v>
      </c>
      <c r="G13" s="42" t="s">
        <v>117</v>
      </c>
      <c r="H13" s="34">
        <f>(G4+H4+I4)*0.03</f>
        <v>30625.71</v>
      </c>
      <c r="I13" s="49"/>
    </row>
    <row r="14" spans="1:14" x14ac:dyDescent="0.25">
      <c r="A14" s="42" t="s">
        <v>118</v>
      </c>
      <c r="B14" s="39">
        <f>(A4+B4+C4)*0.02</f>
        <v>20417.14</v>
      </c>
      <c r="G14" s="42" t="s">
        <v>118</v>
      </c>
      <c r="H14" s="34">
        <f>(G4+H4+I4)*0.02</f>
        <v>20417.14</v>
      </c>
      <c r="I14" s="49"/>
    </row>
    <row r="15" spans="1:14" x14ac:dyDescent="0.25">
      <c r="A15" s="42" t="s">
        <v>119</v>
      </c>
      <c r="B15" s="39">
        <f>(A4+B4+C4)*4%</f>
        <v>40834.28</v>
      </c>
      <c r="G15" s="42" t="s">
        <v>119</v>
      </c>
      <c r="H15" s="34">
        <f>(G4+H4+I4)*4%</f>
        <v>40834.28</v>
      </c>
      <c r="I15" s="49"/>
    </row>
    <row r="16" spans="1:14" x14ac:dyDescent="0.25">
      <c r="A16" s="42" t="s">
        <v>120</v>
      </c>
      <c r="B16" s="39">
        <f>(A4+B4+C4)*4%</f>
        <v>40834.28</v>
      </c>
      <c r="G16" s="42" t="s">
        <v>120</v>
      </c>
      <c r="H16" s="34">
        <f>(G4+H4+I4)*4%</f>
        <v>40834.28</v>
      </c>
      <c r="I16" s="49"/>
    </row>
    <row r="17" spans="1:9" x14ac:dyDescent="0.25">
      <c r="A17" s="42" t="s">
        <v>87</v>
      </c>
      <c r="B17" s="39">
        <f>SUM(B12:B16)</f>
        <v>173545.68999999997</v>
      </c>
      <c r="G17" s="42" t="s">
        <v>87</v>
      </c>
      <c r="H17" s="34">
        <f>SUM(H12:H16)</f>
        <v>173545.68999999997</v>
      </c>
      <c r="I17" s="49"/>
    </row>
    <row r="19" spans="1:9" x14ac:dyDescent="0.25">
      <c r="A19" s="43" t="s">
        <v>6</v>
      </c>
      <c r="B19" s="39">
        <f>B10-B17</f>
        <v>2631502.5300000003</v>
      </c>
      <c r="G19" s="43" t="s">
        <v>6</v>
      </c>
      <c r="H19" s="34">
        <f>H10-H17</f>
        <v>2631502.5300000003</v>
      </c>
      <c r="I19" s="49"/>
    </row>
  </sheetData>
  <mergeCells count="4">
    <mergeCell ref="G1:J1"/>
    <mergeCell ref="G2:J2"/>
    <mergeCell ref="A2:D2"/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PRESUPUESTO</vt:lpstr>
      <vt:lpstr>COSTO UNITARIO</vt:lpstr>
      <vt:lpstr>PRECIO DE VENTA</vt:lpstr>
      <vt:lpstr>PRECIO DE VENTA RESUMEN</vt:lpstr>
      <vt:lpstr>PROYECCION DE VENTAS</vt:lpstr>
      <vt:lpstr>PUNTO DE EQUILIBRIO</vt:lpstr>
      <vt:lpstr>ESTADO DE RESULTADOS PROYECTADO</vt:lpstr>
      <vt:lpstr> PE Y MEZCA EN LINEAS DE P.</vt:lpstr>
      <vt:lpstr>LIQUIDACIÓN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 de Windows</cp:lastModifiedBy>
  <dcterms:created xsi:type="dcterms:W3CDTF">2017-11-29T03:49:08Z</dcterms:created>
  <dcterms:modified xsi:type="dcterms:W3CDTF">2017-12-18T16:40:42Z</dcterms:modified>
</cp:coreProperties>
</file>